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035" yWindow="-15" windowWidth="19080" windowHeight="11940"/>
  </bookViews>
  <sheets>
    <sheet name="General Settings" sheetId="6" r:id="rId1"/>
    <sheet name="BtpCurve" sheetId="4" r:id="rId2"/>
    <sheet name="Bond Analysis" sheetId="8" r:id="rId3"/>
    <sheet name="Contribution" sheetId="7" r:id="rId4"/>
    <sheet name="CCT" sheetId="9" r:id="rId5"/>
  </sheets>
  <definedNames>
    <definedName name="AssetSwapPricingEngine">BtpCurve!#REF!</definedName>
    <definedName name="AswIndex">'General Settings'!$B$9</definedName>
    <definedName name="BondPricingEngine">BtpCurve!$L$1</definedName>
    <definedName name="BondSettlementDate">'General Settings'!$B$4</definedName>
    <definedName name="BtpCurve">'General Settings'!$B$21</definedName>
    <definedName name="Descriptions">BtpCurve!$B$2:$B$47</definedName>
    <definedName name="DiscountingCurve">'General Settings'!$B$14</definedName>
    <definedName name="ExcludeMarchSeptember">'General Settings'!$B$19</definedName>
    <definedName name="IgnoreResiduePremium">'General Settings'!$B$20</definedName>
    <definedName name="ParAsw">'General Settings'!$B$10</definedName>
    <definedName name="PriceSelector">'Bond Analysis'!$AI$1</definedName>
    <definedName name="PriceTrigger">'General Settings'!$B$23</definedName>
    <definedName name="ReferenceBond">'General Settings'!$B$12</definedName>
    <definedName name="ReferenceBondAccruedAmount">'Bond Analysis'!$F$1</definedName>
    <definedName name="ReferenceBondDescription">'Bond Analysis'!$A$2</definedName>
    <definedName name="ReferenceBondISIN">'Bond Analysis'!$A$1</definedName>
    <definedName name="ReferenceBondPrice">'Bond Analysis'!$B$2</definedName>
    <definedName name="ReferenceBondPrincipaPremium">'Bond Analysis'!$C$2</definedName>
    <definedName name="Trigger">'General Settings'!$B$1</definedName>
    <definedName name="YieldCompounding">'General Settings'!$B$6</definedName>
    <definedName name="YieldCurveInterpolation">'General Settings'!$B$17</definedName>
    <definedName name="YieldCurveTraits">'General Settings'!$B$16</definedName>
    <definedName name="YieldDayCounter">'General Settings'!$B$5</definedName>
    <definedName name="YieldFrequency">'General Settings'!$B$7</definedName>
  </definedNames>
  <calcPr calcId="145621"/>
</workbook>
</file>

<file path=xl/calcChain.xml><?xml version="1.0" encoding="utf-8"?>
<calcChain xmlns="http://schemas.openxmlformats.org/spreadsheetml/2006/main">
  <c r="AG2" i="4" l="1"/>
  <c r="AG3" i="4"/>
  <c r="B12" i="6"/>
  <c r="C5" i="9"/>
  <c r="V5" i="7" l="1"/>
  <c r="V21" i="7"/>
  <c r="V37" i="7"/>
  <c r="V53" i="7"/>
  <c r="V69" i="7"/>
  <c r="V85" i="7"/>
  <c r="V101" i="7"/>
  <c r="V117" i="7"/>
  <c r="V133" i="7"/>
  <c r="V149" i="7"/>
  <c r="U18" i="7"/>
  <c r="U34" i="7"/>
  <c r="U50" i="7"/>
  <c r="U66" i="7"/>
  <c r="U82" i="7"/>
  <c r="U98" i="7"/>
  <c r="U114" i="7"/>
  <c r="U130" i="7"/>
  <c r="U146" i="7"/>
  <c r="V104" i="7"/>
  <c r="V136" i="7"/>
  <c r="U37" i="7"/>
  <c r="U69" i="7"/>
  <c r="U101" i="7"/>
  <c r="U149" i="7"/>
  <c r="U38" i="7"/>
  <c r="U86" i="7"/>
  <c r="U118" i="7"/>
  <c r="U150" i="7"/>
  <c r="U39" i="7"/>
  <c r="U135" i="7"/>
  <c r="V46" i="7"/>
  <c r="U43" i="7"/>
  <c r="V63" i="7"/>
  <c r="V143" i="7"/>
  <c r="U124" i="7"/>
  <c r="V16" i="7"/>
  <c r="U29" i="7"/>
  <c r="V33" i="7"/>
  <c r="V145" i="7"/>
  <c r="U126" i="7"/>
  <c r="V98" i="7"/>
  <c r="U15" i="7"/>
  <c r="U127" i="7"/>
  <c r="V51" i="7"/>
  <c r="U16" i="7"/>
  <c r="U128" i="7"/>
  <c r="V132" i="7"/>
  <c r="U33" i="7"/>
  <c r="V6" i="7"/>
  <c r="V22" i="7"/>
  <c r="V38" i="7"/>
  <c r="V54" i="7"/>
  <c r="V70" i="7"/>
  <c r="V86" i="7"/>
  <c r="V102" i="7"/>
  <c r="V118" i="7"/>
  <c r="V134" i="7"/>
  <c r="V150" i="7"/>
  <c r="U19" i="7"/>
  <c r="U35" i="7"/>
  <c r="U51" i="7"/>
  <c r="U67" i="7"/>
  <c r="U83" i="7"/>
  <c r="U99" i="7"/>
  <c r="U115" i="7"/>
  <c r="U131" i="7"/>
  <c r="U147" i="7"/>
  <c r="V72" i="7"/>
  <c r="U21" i="7"/>
  <c r="U22" i="7"/>
  <c r="U70" i="7"/>
  <c r="U102" i="7"/>
  <c r="U134" i="7"/>
  <c r="U71" i="7"/>
  <c r="U103" i="7"/>
  <c r="U136" i="7"/>
  <c r="V126" i="7"/>
  <c r="U91" i="7"/>
  <c r="V31" i="7"/>
  <c r="U44" i="7"/>
  <c r="U140" i="7"/>
  <c r="V112" i="7"/>
  <c r="U13" i="7"/>
  <c r="U125" i="7"/>
  <c r="V65" i="7"/>
  <c r="U14" i="7"/>
  <c r="U142" i="7"/>
  <c r="V130" i="7"/>
  <c r="V146" i="7"/>
  <c r="U143" i="7"/>
  <c r="V83" i="7"/>
  <c r="U32" i="7"/>
  <c r="U144" i="7"/>
  <c r="V36" i="7"/>
  <c r="U81" i="7"/>
  <c r="V7" i="7"/>
  <c r="V23" i="7"/>
  <c r="V39" i="7"/>
  <c r="V55" i="7"/>
  <c r="V71" i="7"/>
  <c r="V87" i="7"/>
  <c r="V103" i="7"/>
  <c r="V119" i="7"/>
  <c r="V135" i="7"/>
  <c r="V4" i="7"/>
  <c r="U20" i="7"/>
  <c r="U36" i="7"/>
  <c r="U52" i="7"/>
  <c r="U68" i="7"/>
  <c r="U84" i="7"/>
  <c r="U100" i="7"/>
  <c r="U116" i="7"/>
  <c r="U132" i="7"/>
  <c r="U148" i="7"/>
  <c r="V88" i="7"/>
  <c r="U5" i="7"/>
  <c r="U53" i="7"/>
  <c r="U85" i="7"/>
  <c r="U117" i="7"/>
  <c r="U133" i="7"/>
  <c r="V137" i="7"/>
  <c r="U54" i="7"/>
  <c r="U55" i="7"/>
  <c r="U119" i="7"/>
  <c r="U3" i="7"/>
  <c r="V142" i="7"/>
  <c r="U59" i="7"/>
  <c r="U123" i="7"/>
  <c r="V47" i="7"/>
  <c r="U60" i="7"/>
  <c r="V80" i="7"/>
  <c r="V144" i="7"/>
  <c r="U141" i="7"/>
  <c r="V81" i="7"/>
  <c r="U62" i="7"/>
  <c r="V34" i="7"/>
  <c r="U47" i="7"/>
  <c r="V35" i="7"/>
  <c r="U48" i="7"/>
  <c r="V20" i="7"/>
  <c r="V148" i="7"/>
  <c r="U129" i="7"/>
  <c r="V8" i="7"/>
  <c r="V24" i="7"/>
  <c r="V40" i="7"/>
  <c r="V56" i="7"/>
  <c r="V120" i="7"/>
  <c r="V62" i="7"/>
  <c r="V95" i="7"/>
  <c r="U12" i="7"/>
  <c r="V64" i="7"/>
  <c r="U77" i="7"/>
  <c r="V113" i="7"/>
  <c r="U78" i="7"/>
  <c r="V114" i="7"/>
  <c r="U31" i="7"/>
  <c r="V19" i="7"/>
  <c r="U80" i="7"/>
  <c r="V84" i="7"/>
  <c r="U113" i="7"/>
  <c r="V9" i="7"/>
  <c r="V25" i="7"/>
  <c r="V41" i="7"/>
  <c r="V57" i="7"/>
  <c r="V73" i="7"/>
  <c r="V89" i="7"/>
  <c r="V105" i="7"/>
  <c r="V121" i="7"/>
  <c r="U6" i="7"/>
  <c r="V78" i="7"/>
  <c r="V79" i="7"/>
  <c r="U28" i="7"/>
  <c r="V32" i="7"/>
  <c r="U109" i="7"/>
  <c r="V129" i="7"/>
  <c r="U110" i="7"/>
  <c r="V82" i="7"/>
  <c r="U111" i="7"/>
  <c r="V99" i="7"/>
  <c r="U64" i="7"/>
  <c r="V116" i="7"/>
  <c r="U49" i="7"/>
  <c r="V10" i="7"/>
  <c r="V26" i="7"/>
  <c r="V42" i="7"/>
  <c r="V58" i="7"/>
  <c r="V74" i="7"/>
  <c r="V90" i="7"/>
  <c r="V106" i="7"/>
  <c r="V122" i="7"/>
  <c r="V138" i="7"/>
  <c r="U7" i="7"/>
  <c r="U23" i="7"/>
  <c r="U87" i="7"/>
  <c r="U4" i="7"/>
  <c r="V94" i="7"/>
  <c r="U139" i="7"/>
  <c r="V127" i="7"/>
  <c r="U92" i="7"/>
  <c r="V48" i="7"/>
  <c r="U93" i="7"/>
  <c r="V97" i="7"/>
  <c r="U94" i="7"/>
  <c r="V66" i="7"/>
  <c r="U79" i="7"/>
  <c r="V67" i="7"/>
  <c r="V147" i="7"/>
  <c r="V52" i="7"/>
  <c r="U65" i="7"/>
  <c r="V11" i="7"/>
  <c r="V27" i="7"/>
  <c r="V43" i="7"/>
  <c r="V59" i="7"/>
  <c r="V75" i="7"/>
  <c r="V91" i="7"/>
  <c r="V107" i="7"/>
  <c r="V123" i="7"/>
  <c r="V139" i="7"/>
  <c r="U8" i="7"/>
  <c r="U24" i="7"/>
  <c r="U40" i="7"/>
  <c r="U56" i="7"/>
  <c r="U72" i="7"/>
  <c r="U88" i="7"/>
  <c r="U104" i="7"/>
  <c r="U120" i="7"/>
  <c r="U11" i="7"/>
  <c r="U75" i="7"/>
  <c r="V15" i="7"/>
  <c r="U76" i="7"/>
  <c r="V128" i="7"/>
  <c r="U45" i="7"/>
  <c r="V17" i="7"/>
  <c r="U46" i="7"/>
  <c r="V50" i="7"/>
  <c r="U63" i="7"/>
  <c r="V131" i="7"/>
  <c r="U96" i="7"/>
  <c r="V68" i="7"/>
  <c r="U97" i="7"/>
  <c r="V12" i="7"/>
  <c r="V28" i="7"/>
  <c r="V44" i="7"/>
  <c r="V60" i="7"/>
  <c r="V76" i="7"/>
  <c r="V92" i="7"/>
  <c r="V108" i="7"/>
  <c r="V124" i="7"/>
  <c r="V140" i="7"/>
  <c r="U9" i="7"/>
  <c r="U25" i="7"/>
  <c r="U41" i="7"/>
  <c r="U57" i="7"/>
  <c r="U73" i="7"/>
  <c r="U89" i="7"/>
  <c r="U105" i="7"/>
  <c r="U121" i="7"/>
  <c r="U137" i="7"/>
  <c r="V13" i="7"/>
  <c r="V29" i="7"/>
  <c r="V45" i="7"/>
  <c r="V61" i="7"/>
  <c r="V77" i="7"/>
  <c r="V93" i="7"/>
  <c r="V109" i="7"/>
  <c r="V125" i="7"/>
  <c r="V141" i="7"/>
  <c r="U10" i="7"/>
  <c r="U26" i="7"/>
  <c r="U42" i="7"/>
  <c r="U58" i="7"/>
  <c r="U74" i="7"/>
  <c r="U90" i="7"/>
  <c r="U106" i="7"/>
  <c r="U122" i="7"/>
  <c r="U138" i="7"/>
  <c r="V14" i="7"/>
  <c r="V30" i="7"/>
  <c r="V110" i="7"/>
  <c r="U27" i="7"/>
  <c r="U107" i="7"/>
  <c r="V111" i="7"/>
  <c r="U108" i="7"/>
  <c r="V96" i="7"/>
  <c r="U61" i="7"/>
  <c r="V49" i="7"/>
  <c r="U30" i="7"/>
  <c r="V18" i="7"/>
  <c r="U95" i="7"/>
  <c r="V115" i="7"/>
  <c r="U112" i="7"/>
  <c r="V100" i="7"/>
  <c r="U17" i="7"/>
  <c r="U145" i="7"/>
  <c r="B4" i="6"/>
  <c r="O77" i="7"/>
  <c r="P77" i="7"/>
  <c r="P62" i="7"/>
  <c r="P119" i="7"/>
  <c r="P33" i="7"/>
  <c r="N103" i="7"/>
  <c r="N27" i="7"/>
  <c r="O98" i="7"/>
  <c r="P41" i="7"/>
  <c r="N115" i="7"/>
  <c r="P109" i="7"/>
  <c r="O129" i="7"/>
  <c r="N112" i="7"/>
  <c r="P59" i="7"/>
  <c r="N106" i="7"/>
  <c r="P10" i="7"/>
  <c r="O149" i="7"/>
  <c r="P70" i="7"/>
  <c r="P103" i="7"/>
  <c r="N128" i="7"/>
  <c r="O144" i="7"/>
  <c r="P16" i="7"/>
  <c r="N125" i="7"/>
  <c r="P140" i="7"/>
  <c r="N75" i="7"/>
  <c r="P42" i="7"/>
  <c r="P79" i="7"/>
  <c r="N97" i="7"/>
  <c r="O38" i="7"/>
  <c r="N136" i="7"/>
  <c r="P28" i="7"/>
  <c r="P126" i="7"/>
  <c r="P139" i="7"/>
  <c r="N95" i="7"/>
  <c r="N4" i="7"/>
  <c r="O28" i="7"/>
  <c r="N25" i="7"/>
  <c r="P149" i="7"/>
  <c r="N6" i="7"/>
  <c r="O96" i="7"/>
  <c r="O61" i="7"/>
  <c r="N38" i="7"/>
  <c r="P43" i="7"/>
  <c r="O67" i="7"/>
  <c r="P67" i="7"/>
  <c r="P129" i="7"/>
  <c r="N15" i="7"/>
  <c r="N149" i="7"/>
  <c r="P82" i="7"/>
  <c r="N47" i="7"/>
  <c r="N44" i="7"/>
  <c r="N60" i="7"/>
  <c r="N68" i="7"/>
  <c r="P19" i="7"/>
  <c r="P91" i="7"/>
  <c r="O46" i="7"/>
  <c r="N138" i="7"/>
  <c r="O65" i="7"/>
  <c r="O122" i="7"/>
  <c r="O52" i="7"/>
  <c r="N9" i="7"/>
  <c r="N104" i="7"/>
  <c r="P150" i="7"/>
  <c r="P114" i="7"/>
  <c r="P133" i="7"/>
  <c r="N135" i="7"/>
  <c r="P5" i="7"/>
  <c r="O48" i="7"/>
  <c r="N41" i="7"/>
  <c r="P9" i="7"/>
  <c r="P51" i="7"/>
  <c r="N122" i="7"/>
  <c r="P23" i="7"/>
  <c r="O15" i="7"/>
  <c r="O69" i="7"/>
  <c r="O6" i="7"/>
  <c r="P14" i="7"/>
  <c r="O72" i="7"/>
  <c r="N108" i="7"/>
  <c r="P76" i="7"/>
  <c r="O30" i="7"/>
  <c r="P24" i="7"/>
  <c r="O56" i="7"/>
  <c r="P8" i="7"/>
  <c r="P145" i="7"/>
  <c r="O109" i="7"/>
  <c r="N59" i="7"/>
  <c r="N32" i="7"/>
  <c r="O60" i="7"/>
  <c r="O32" i="7"/>
  <c r="N42" i="7"/>
  <c r="N91" i="7"/>
  <c r="N90" i="7"/>
  <c r="N65" i="7"/>
  <c r="O64" i="7"/>
  <c r="P52" i="7"/>
  <c r="O136" i="7"/>
  <c r="P36" i="7"/>
  <c r="N93" i="7"/>
  <c r="N109" i="7"/>
  <c r="O75" i="7"/>
  <c r="P6" i="7"/>
  <c r="P136" i="7"/>
  <c r="N85" i="7"/>
  <c r="P31" i="7"/>
  <c r="N110" i="7"/>
  <c r="P68" i="7"/>
  <c r="P108" i="7"/>
  <c r="O70" i="7"/>
  <c r="O150" i="7"/>
  <c r="N111" i="7"/>
  <c r="P107" i="7"/>
  <c r="P30" i="7"/>
  <c r="O17" i="7"/>
  <c r="O80" i="7"/>
  <c r="P64" i="7"/>
  <c r="N78" i="7"/>
  <c r="N79" i="7"/>
  <c r="P125" i="7"/>
  <c r="P7" i="7"/>
  <c r="O121" i="7"/>
  <c r="N86" i="7"/>
  <c r="P45" i="7"/>
  <c r="P101" i="7"/>
  <c r="P83" i="7"/>
  <c r="N49" i="7"/>
  <c r="P71" i="7"/>
  <c r="O141" i="7"/>
  <c r="P46" i="7"/>
  <c r="O127" i="7"/>
  <c r="O148" i="7"/>
  <c r="P97" i="7"/>
  <c r="N16" i="7"/>
  <c r="N99" i="7"/>
  <c r="O115" i="7"/>
  <c r="P105" i="7"/>
  <c r="N64" i="7"/>
  <c r="O66" i="7"/>
  <c r="P35" i="7"/>
  <c r="O101" i="7"/>
  <c r="O50" i="7"/>
  <c r="N34" i="7"/>
  <c r="P38" i="7"/>
  <c r="O119" i="7"/>
  <c r="O104" i="7"/>
  <c r="P29" i="7"/>
  <c r="O37" i="7"/>
  <c r="N141" i="7"/>
  <c r="P92" i="7"/>
  <c r="P134" i="7"/>
  <c r="O133" i="7"/>
  <c r="N71" i="7"/>
  <c r="O51" i="7"/>
  <c r="N56" i="7"/>
  <c r="P18" i="7"/>
  <c r="O106" i="7"/>
  <c r="P17" i="7"/>
  <c r="O134" i="7"/>
  <c r="O131" i="7"/>
  <c r="O125" i="7"/>
  <c r="P148" i="7"/>
  <c r="O74" i="7"/>
  <c r="O27" i="7"/>
  <c r="N7" i="7"/>
  <c r="P106" i="7"/>
  <c r="N20" i="7"/>
  <c r="P78" i="7"/>
  <c r="N13" i="7"/>
  <c r="O99" i="7"/>
  <c r="N132" i="7"/>
  <c r="O135" i="7"/>
  <c r="P66" i="7"/>
  <c r="P11" i="7"/>
  <c r="P111" i="7"/>
  <c r="P143" i="7"/>
  <c r="O47" i="7"/>
  <c r="P95" i="7"/>
  <c r="N134" i="7"/>
  <c r="P53" i="7"/>
  <c r="P135" i="7"/>
  <c r="P130" i="7"/>
  <c r="O55" i="7"/>
  <c r="P44" i="7"/>
  <c r="O140" i="7"/>
  <c r="N72" i="7"/>
  <c r="O73" i="7"/>
  <c r="O112" i="7"/>
  <c r="N43" i="7"/>
  <c r="O108" i="7"/>
  <c r="P96" i="7"/>
  <c r="O18" i="7"/>
  <c r="P48" i="7"/>
  <c r="P56" i="7"/>
  <c r="N45" i="7"/>
  <c r="N74" i="7"/>
  <c r="P73" i="7"/>
  <c r="P89" i="7"/>
  <c r="O7" i="7"/>
  <c r="P40" i="7"/>
  <c r="O100" i="7"/>
  <c r="N116" i="7"/>
  <c r="N33" i="7"/>
  <c r="N39" i="7"/>
  <c r="O45" i="7"/>
  <c r="O22" i="7"/>
  <c r="O94" i="7"/>
  <c r="P4" i="7"/>
  <c r="P144" i="7"/>
  <c r="N28" i="7"/>
  <c r="O41" i="7"/>
  <c r="O81" i="7"/>
  <c r="N22" i="7"/>
  <c r="O87" i="7"/>
  <c r="N88" i="7"/>
  <c r="O79" i="7"/>
  <c r="O143" i="7"/>
  <c r="O9" i="7"/>
  <c r="P100" i="7"/>
  <c r="P84" i="7"/>
  <c r="N148" i="7"/>
  <c r="N127" i="7"/>
  <c r="O97" i="7"/>
  <c r="N118" i="7"/>
  <c r="P104" i="7"/>
  <c r="P120" i="7"/>
  <c r="P50" i="7"/>
  <c r="P115" i="7"/>
  <c r="O83" i="7"/>
  <c r="N105" i="7"/>
  <c r="N40" i="7"/>
  <c r="P110" i="7"/>
  <c r="N81" i="7"/>
  <c r="O92" i="7"/>
  <c r="O123" i="7"/>
  <c r="P57" i="7"/>
  <c r="O26" i="7"/>
  <c r="N10" i="7"/>
  <c r="N51" i="7"/>
  <c r="N26" i="7"/>
  <c r="O84" i="7"/>
  <c r="N77" i="7"/>
  <c r="N82" i="7"/>
  <c r="N145" i="7"/>
  <c r="O19" i="7"/>
  <c r="O25" i="7"/>
  <c r="O35" i="7"/>
  <c r="N53" i="7"/>
  <c r="P60" i="7"/>
  <c r="O139" i="7"/>
  <c r="O42" i="7"/>
  <c r="P98" i="7"/>
  <c r="N124" i="7"/>
  <c r="P47" i="7"/>
  <c r="O29" i="7"/>
  <c r="O16" i="7"/>
  <c r="P22" i="7"/>
  <c r="O31" i="7"/>
  <c r="O53" i="7"/>
  <c r="O23" i="7"/>
  <c r="O78" i="7"/>
  <c r="N80" i="7"/>
  <c r="O120" i="7"/>
  <c r="O68" i="7"/>
  <c r="O102" i="7"/>
  <c r="P122" i="7"/>
  <c r="P12" i="7"/>
  <c r="O59" i="7"/>
  <c r="N102" i="7"/>
  <c r="O116" i="7"/>
  <c r="O137" i="7"/>
  <c r="P90" i="7"/>
  <c r="N62" i="7"/>
  <c r="N29" i="7"/>
  <c r="O118" i="7"/>
  <c r="P142" i="7"/>
  <c r="N30" i="7"/>
  <c r="N133" i="7"/>
  <c r="N31" i="7"/>
  <c r="P55" i="7"/>
  <c r="O33" i="7"/>
  <c r="N5" i="7"/>
  <c r="O130" i="7"/>
  <c r="N54" i="7"/>
  <c r="P72" i="7"/>
  <c r="O88" i="7"/>
  <c r="P34" i="7"/>
  <c r="O21" i="7"/>
  <c r="O91" i="7"/>
  <c r="P137" i="7"/>
  <c r="N87" i="7"/>
  <c r="P49" i="7"/>
  <c r="P99" i="7"/>
  <c r="O54" i="7"/>
  <c r="P146" i="7"/>
  <c r="N142" i="7"/>
  <c r="N120" i="7"/>
  <c r="P69" i="7"/>
  <c r="P87" i="7"/>
  <c r="N89" i="7"/>
  <c r="P118" i="7"/>
  <c r="N21" i="7"/>
  <c r="N147" i="7"/>
  <c r="O13" i="7"/>
  <c r="O95" i="7"/>
  <c r="N35" i="7"/>
  <c r="O57" i="7"/>
  <c r="O8" i="7"/>
  <c r="N101" i="7"/>
  <c r="O85" i="7"/>
  <c r="N69" i="7"/>
  <c r="N73" i="7"/>
  <c r="P116" i="7"/>
  <c r="O103" i="7"/>
  <c r="O5" i="7"/>
  <c r="P124" i="7"/>
  <c r="P61" i="7"/>
  <c r="N84" i="7"/>
  <c r="P58" i="7"/>
  <c r="N50" i="7"/>
  <c r="P80" i="7"/>
  <c r="N19" i="7"/>
  <c r="N70" i="7"/>
  <c r="P63" i="7"/>
  <c r="P117" i="7"/>
  <c r="O128" i="7"/>
  <c r="N61" i="7"/>
  <c r="O63" i="7"/>
  <c r="P131" i="7"/>
  <c r="N100" i="7"/>
  <c r="P128" i="7"/>
  <c r="N143" i="7"/>
  <c r="N137" i="7"/>
  <c r="P21" i="7"/>
  <c r="N12" i="7"/>
  <c r="P121" i="7"/>
  <c r="P138" i="7"/>
  <c r="O89" i="7"/>
  <c r="N14" i="7"/>
  <c r="O34" i="7"/>
  <c r="O76" i="7"/>
  <c r="P74" i="7"/>
  <c r="O49" i="7"/>
  <c r="N63" i="7"/>
  <c r="N113" i="7"/>
  <c r="P93" i="7"/>
  <c r="P20" i="7"/>
  <c r="O138" i="7"/>
  <c r="P147" i="7"/>
  <c r="O117" i="7"/>
  <c r="P15" i="7"/>
  <c r="P26" i="7"/>
  <c r="O113" i="7"/>
  <c r="P85" i="7"/>
  <c r="O86" i="7"/>
  <c r="O11" i="7"/>
  <c r="N11" i="7"/>
  <c r="O105" i="7"/>
  <c r="O82" i="7"/>
  <c r="N121" i="7"/>
  <c r="P86" i="7"/>
  <c r="O111" i="7"/>
  <c r="P39" i="7"/>
  <c r="P94" i="7"/>
  <c r="N92" i="7"/>
  <c r="O132" i="7"/>
  <c r="P81" i="7"/>
  <c r="N76" i="7"/>
  <c r="O145" i="7"/>
  <c r="N107" i="7"/>
  <c r="N126" i="7"/>
  <c r="O62" i="7"/>
  <c r="N58" i="7"/>
  <c r="O142" i="7"/>
  <c r="N96" i="7"/>
  <c r="N57" i="7"/>
  <c r="N83" i="7"/>
  <c r="O44" i="7"/>
  <c r="N24" i="7"/>
  <c r="O12" i="7"/>
  <c r="N36" i="7"/>
  <c r="N114" i="7"/>
  <c r="P25" i="7"/>
  <c r="O40" i="7"/>
  <c r="O124" i="7"/>
  <c r="N48" i="7"/>
  <c r="N17" i="7"/>
  <c r="N131" i="7"/>
  <c r="P123" i="7"/>
  <c r="N23" i="7"/>
  <c r="N66" i="7"/>
  <c r="N94" i="7"/>
  <c r="P27" i="7"/>
  <c r="O58" i="7"/>
  <c r="P65" i="7"/>
  <c r="O10" i="7"/>
  <c r="N46" i="7"/>
  <c r="N55" i="7"/>
  <c r="O4" i="7"/>
  <c r="P13" i="7"/>
  <c r="N8" i="7"/>
  <c r="P102" i="7"/>
  <c r="O93" i="7"/>
  <c r="O110" i="7"/>
  <c r="N37" i="7"/>
  <c r="O36" i="7"/>
  <c r="O43" i="7"/>
  <c r="N52" i="7"/>
  <c r="N123" i="7"/>
  <c r="N150" i="7"/>
  <c r="P113" i="7"/>
  <c r="N140" i="7"/>
  <c r="P54" i="7"/>
  <c r="O90" i="7"/>
  <c r="N117" i="7"/>
  <c r="O126" i="7"/>
  <c r="N130" i="7"/>
  <c r="N146" i="7"/>
  <c r="N119" i="7"/>
  <c r="O147" i="7"/>
  <c r="O146" i="7"/>
  <c r="P88" i="7"/>
  <c r="N139" i="7"/>
  <c r="O39" i="7"/>
  <c r="N18" i="7"/>
  <c r="N98" i="7"/>
  <c r="P37" i="7"/>
  <c r="N67" i="7"/>
  <c r="O20" i="7"/>
  <c r="O107" i="7"/>
  <c r="P127" i="7"/>
  <c r="O24" i="7"/>
  <c r="O114" i="7"/>
  <c r="P112" i="7"/>
  <c r="N144" i="7"/>
  <c r="O14" i="7"/>
  <c r="P141" i="7"/>
  <c r="P132" i="7"/>
  <c r="P32" i="7"/>
  <c r="O71" i="7"/>
  <c r="P75" i="7"/>
  <c r="N129" i="7"/>
  <c r="M117" i="7"/>
  <c r="M85" i="7"/>
  <c r="M58" i="7"/>
  <c r="M87" i="7"/>
  <c r="M127" i="7"/>
  <c r="M131" i="7"/>
  <c r="M93" i="7"/>
  <c r="M134" i="7"/>
  <c r="M145" i="7"/>
  <c r="M70" i="7"/>
  <c r="M138" i="7"/>
  <c r="M94" i="7"/>
  <c r="M108" i="7"/>
  <c r="M47" i="7"/>
  <c r="M135" i="7"/>
  <c r="M19" i="7"/>
  <c r="M89" i="7"/>
  <c r="M137" i="7"/>
  <c r="M107" i="7"/>
  <c r="M110" i="7"/>
  <c r="M90" i="7"/>
  <c r="M99" i="7"/>
  <c r="M12" i="7"/>
  <c r="M83" i="7"/>
  <c r="M60" i="7"/>
  <c r="M72" i="7"/>
  <c r="M46" i="7"/>
  <c r="M6" i="7"/>
  <c r="M103" i="7"/>
  <c r="M113" i="7"/>
  <c r="M44" i="7"/>
  <c r="M97" i="7"/>
  <c r="M63" i="7"/>
  <c r="M128" i="7"/>
  <c r="M100" i="7"/>
  <c r="M77" i="7"/>
  <c r="M36" i="7"/>
  <c r="M57" i="7"/>
  <c r="M22" i="7"/>
  <c r="M140" i="7"/>
  <c r="M39" i="7"/>
  <c r="M52" i="7"/>
  <c r="M142" i="7"/>
  <c r="M37" i="7"/>
  <c r="M50" i="7"/>
  <c r="M121" i="7"/>
  <c r="M55" i="7"/>
  <c r="M112" i="7"/>
  <c r="M28" i="7"/>
  <c r="M24" i="7"/>
  <c r="M133" i="7"/>
  <c r="M79" i="7"/>
  <c r="M45" i="7"/>
  <c r="M71" i="7"/>
  <c r="M119" i="7"/>
  <c r="M120" i="7"/>
  <c r="M111" i="7"/>
  <c r="M66" i="7"/>
  <c r="M61" i="7"/>
  <c r="M124" i="7"/>
  <c r="M146" i="7"/>
  <c r="M88" i="7"/>
  <c r="M95" i="7"/>
  <c r="M20" i="7"/>
  <c r="M148" i="7"/>
  <c r="M81" i="7"/>
  <c r="M78" i="7"/>
  <c r="M42" i="7"/>
  <c r="M53" i="7"/>
  <c r="M147" i="7"/>
  <c r="M104" i="7"/>
  <c r="M33" i="7"/>
  <c r="M74" i="7"/>
  <c r="M149" i="7"/>
  <c r="M122" i="7"/>
  <c r="M98" i="7"/>
  <c r="M43" i="7"/>
  <c r="M29" i="7"/>
  <c r="M65" i="7"/>
  <c r="M92" i="7"/>
  <c r="M126" i="7"/>
  <c r="M31" i="7"/>
  <c r="M38" i="7"/>
  <c r="M5" i="7"/>
  <c r="M27" i="7"/>
  <c r="M125" i="7"/>
  <c r="M114" i="7"/>
  <c r="M32" i="7"/>
  <c r="M73" i="7"/>
  <c r="M68" i="7"/>
  <c r="M132" i="7"/>
  <c r="M150" i="7"/>
  <c r="M67" i="7"/>
  <c r="M64" i="7"/>
  <c r="M130" i="7"/>
  <c r="M62" i="7"/>
  <c r="M118" i="7"/>
  <c r="M86" i="7"/>
  <c r="M41" i="7"/>
  <c r="M11" i="7"/>
  <c r="M69" i="7"/>
  <c r="M14" i="7"/>
  <c r="M136" i="7"/>
  <c r="M105" i="7"/>
  <c r="M115" i="7"/>
  <c r="M8" i="7"/>
  <c r="M25" i="7"/>
  <c r="M4" i="7"/>
  <c r="M48" i="7"/>
  <c r="M16" i="7"/>
  <c r="M82" i="7"/>
  <c r="M49" i="7"/>
  <c r="M9" i="7"/>
  <c r="M18" i="7"/>
  <c r="M10" i="7"/>
  <c r="M15" i="7"/>
  <c r="M30" i="7"/>
  <c r="M26" i="7"/>
  <c r="M59" i="7"/>
  <c r="M139" i="7"/>
  <c r="M116" i="7"/>
  <c r="M35" i="7"/>
  <c r="M102" i="7"/>
  <c r="M129" i="7"/>
  <c r="M109" i="7"/>
  <c r="M23" i="7"/>
  <c r="M34" i="7"/>
  <c r="M13" i="7"/>
  <c r="M54" i="7"/>
  <c r="M106" i="7"/>
  <c r="M91" i="7"/>
  <c r="M51" i="7"/>
  <c r="M80" i="7"/>
  <c r="M56" i="7"/>
  <c r="M143" i="7"/>
  <c r="M7" i="7"/>
  <c r="M76" i="7"/>
  <c r="M96" i="7"/>
  <c r="M17" i="7"/>
  <c r="M123" i="7"/>
  <c r="M144" i="7"/>
  <c r="M75" i="7"/>
  <c r="M101" i="7"/>
  <c r="M141" i="7"/>
  <c r="M21" i="7"/>
  <c r="M40" i="7"/>
  <c r="M84" i="7"/>
  <c r="T5" i="7" l="1"/>
  <c r="T6" i="7"/>
  <c r="T7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T24" i="7"/>
  <c r="T25" i="7"/>
  <c r="T26" i="7"/>
  <c r="T27" i="7"/>
  <c r="T28" i="7"/>
  <c r="T29" i="7"/>
  <c r="T30" i="7"/>
  <c r="T31" i="7"/>
  <c r="T32" i="7"/>
  <c r="T33" i="7"/>
  <c r="T34" i="7"/>
  <c r="T35" i="7"/>
  <c r="T36" i="7"/>
  <c r="T37" i="7"/>
  <c r="T38" i="7"/>
  <c r="T39" i="7"/>
  <c r="T40" i="7"/>
  <c r="T41" i="7"/>
  <c r="T42" i="7"/>
  <c r="T43" i="7"/>
  <c r="T44" i="7"/>
  <c r="T45" i="7"/>
  <c r="T46" i="7"/>
  <c r="T47" i="7"/>
  <c r="T48" i="7"/>
  <c r="T49" i="7"/>
  <c r="T50" i="7"/>
  <c r="T51" i="7"/>
  <c r="T52" i="7"/>
  <c r="T53" i="7"/>
  <c r="T54" i="7"/>
  <c r="T55" i="7"/>
  <c r="T56" i="7"/>
  <c r="T57" i="7"/>
  <c r="T58" i="7"/>
  <c r="T59" i="7"/>
  <c r="T60" i="7"/>
  <c r="T61" i="7"/>
  <c r="T62" i="7"/>
  <c r="T63" i="7"/>
  <c r="T64" i="7"/>
  <c r="T65" i="7"/>
  <c r="T66" i="7"/>
  <c r="T67" i="7"/>
  <c r="T68" i="7"/>
  <c r="T69" i="7"/>
  <c r="T70" i="7"/>
  <c r="T71" i="7"/>
  <c r="T72" i="7"/>
  <c r="T73" i="7"/>
  <c r="T74" i="7"/>
  <c r="T75" i="7"/>
  <c r="T76" i="7"/>
  <c r="T77" i="7"/>
  <c r="T78" i="7"/>
  <c r="T79" i="7"/>
  <c r="T80" i="7"/>
  <c r="T81" i="7"/>
  <c r="T82" i="7"/>
  <c r="T83" i="7"/>
  <c r="T84" i="7"/>
  <c r="T85" i="7"/>
  <c r="T86" i="7"/>
  <c r="T87" i="7"/>
  <c r="T88" i="7"/>
  <c r="T89" i="7"/>
  <c r="T90" i="7"/>
  <c r="T91" i="7"/>
  <c r="T92" i="7"/>
  <c r="T93" i="7"/>
  <c r="T94" i="7"/>
  <c r="T95" i="7"/>
  <c r="T96" i="7"/>
  <c r="T97" i="7"/>
  <c r="T98" i="7"/>
  <c r="T99" i="7"/>
  <c r="T100" i="7"/>
  <c r="T101" i="7"/>
  <c r="T102" i="7"/>
  <c r="T103" i="7"/>
  <c r="T104" i="7"/>
  <c r="T105" i="7"/>
  <c r="T106" i="7"/>
  <c r="T107" i="7"/>
  <c r="T108" i="7"/>
  <c r="T109" i="7"/>
  <c r="T110" i="7"/>
  <c r="T111" i="7"/>
  <c r="T112" i="7"/>
  <c r="T113" i="7"/>
  <c r="T114" i="7"/>
  <c r="T115" i="7"/>
  <c r="T116" i="7"/>
  <c r="T117" i="7"/>
  <c r="T118" i="7"/>
  <c r="T119" i="7"/>
  <c r="T120" i="7"/>
  <c r="T121" i="7"/>
  <c r="T122" i="7"/>
  <c r="T123" i="7"/>
  <c r="T124" i="7"/>
  <c r="T125" i="7"/>
  <c r="T126" i="7"/>
  <c r="T127" i="7"/>
  <c r="T128" i="7"/>
  <c r="T129" i="7"/>
  <c r="T130" i="7"/>
  <c r="T131" i="7"/>
  <c r="T132" i="7"/>
  <c r="T133" i="7"/>
  <c r="T134" i="7"/>
  <c r="T135" i="7"/>
  <c r="T136" i="7"/>
  <c r="T137" i="7"/>
  <c r="T138" i="7"/>
  <c r="T139" i="7"/>
  <c r="T140" i="7"/>
  <c r="T141" i="7"/>
  <c r="T142" i="7"/>
  <c r="T143" i="7"/>
  <c r="T144" i="7"/>
  <c r="T145" i="7"/>
  <c r="T146" i="7"/>
  <c r="T147" i="7"/>
  <c r="T148" i="7"/>
  <c r="T149" i="7"/>
  <c r="T150" i="7"/>
  <c r="T4" i="7"/>
  <c r="S42" i="4" l="1"/>
  <c r="T42" i="4"/>
  <c r="S43" i="4"/>
  <c r="T43" i="4"/>
  <c r="S44" i="4"/>
  <c r="T44" i="4"/>
  <c r="S45" i="4"/>
  <c r="T45" i="4"/>
  <c r="S46" i="4"/>
  <c r="T46" i="4"/>
  <c r="S47" i="4"/>
  <c r="T47" i="4"/>
  <c r="S48" i="4"/>
  <c r="T48" i="4"/>
  <c r="S49" i="4"/>
  <c r="T49" i="4"/>
  <c r="S50" i="4"/>
  <c r="T50" i="4"/>
  <c r="C2" i="4" a="1"/>
  <c r="B2" i="6"/>
  <c r="C17" i="4" l="1"/>
  <c r="C33" i="4"/>
  <c r="C49" i="4"/>
  <c r="C2" i="4"/>
  <c r="C18" i="4"/>
  <c r="C34" i="4"/>
  <c r="C50" i="4"/>
  <c r="C9" i="4"/>
  <c r="C3" i="4"/>
  <c r="C19" i="4"/>
  <c r="C35" i="4"/>
  <c r="C24" i="4"/>
  <c r="C4" i="4"/>
  <c r="C20" i="4"/>
  <c r="C36" i="4"/>
  <c r="C41" i="4"/>
  <c r="C26" i="4"/>
  <c r="C27" i="4"/>
  <c r="C5" i="4"/>
  <c r="C21" i="4"/>
  <c r="C37" i="4"/>
  <c r="C25" i="4"/>
  <c r="C42" i="4"/>
  <c r="C11" i="4"/>
  <c r="C6" i="4"/>
  <c r="C22" i="4"/>
  <c r="C38" i="4"/>
  <c r="C40" i="4"/>
  <c r="C10" i="4"/>
  <c r="C43" i="4"/>
  <c r="C7" i="4"/>
  <c r="C23" i="4"/>
  <c r="C39" i="4"/>
  <c r="C8" i="4"/>
  <c r="C12" i="4"/>
  <c r="C28" i="4"/>
  <c r="C44" i="4"/>
  <c r="C13" i="4"/>
  <c r="C29" i="4"/>
  <c r="C45" i="4"/>
  <c r="C14" i="4"/>
  <c r="C30" i="4"/>
  <c r="C46" i="4"/>
  <c r="C15" i="4"/>
  <c r="C31" i="4"/>
  <c r="C47" i="4"/>
  <c r="C16" i="4"/>
  <c r="C32" i="4"/>
  <c r="C48" i="4"/>
  <c r="B46" i="4"/>
  <c r="B47" i="4"/>
  <c r="B43" i="4"/>
  <c r="B42" i="4"/>
  <c r="F45" i="4"/>
  <c r="X16" i="4"/>
  <c r="X31" i="4"/>
  <c r="X7" i="4"/>
  <c r="Y39" i="4"/>
  <c r="X42" i="4"/>
  <c r="X4" i="4"/>
  <c r="X41" i="4"/>
  <c r="X44" i="4"/>
  <c r="X3" i="4"/>
  <c r="Y23" i="4"/>
  <c r="Y2" i="4"/>
  <c r="X2" i="4"/>
  <c r="X15" i="4"/>
  <c r="X21" i="4"/>
  <c r="Y31" i="4"/>
  <c r="Y9" i="4"/>
  <c r="X8" i="4"/>
  <c r="X50" i="4"/>
  <c r="X14" i="4"/>
  <c r="Y7" i="4"/>
  <c r="X40" i="4"/>
  <c r="Y20" i="4"/>
  <c r="Y25" i="4"/>
  <c r="X37" i="4"/>
  <c r="Y47" i="4"/>
  <c r="Y11" i="4"/>
  <c r="Y16" i="4"/>
  <c r="Y21" i="4"/>
  <c r="Y18" i="4"/>
  <c r="Y8" i="4"/>
  <c r="X6" i="4"/>
  <c r="Y49" i="4"/>
  <c r="X39" i="4"/>
  <c r="Y15" i="4"/>
  <c r="X36" i="4"/>
  <c r="X45" i="4"/>
  <c r="Y42" i="4"/>
  <c r="X34" i="4"/>
  <c r="Y44" i="4"/>
  <c r="X20" i="4"/>
  <c r="Y36" i="4"/>
  <c r="Y46" i="4"/>
  <c r="Y29" i="4"/>
  <c r="Y27" i="4"/>
  <c r="X46" i="4"/>
  <c r="X18" i="4"/>
  <c r="Y48" i="4"/>
  <c r="Y43" i="4"/>
  <c r="X24" i="4"/>
  <c r="X30" i="4"/>
  <c r="X23" i="4"/>
  <c r="Y40" i="4"/>
  <c r="X9" i="4"/>
  <c r="Y35" i="4"/>
  <c r="X35" i="4"/>
  <c r="Y30" i="4"/>
  <c r="AB50" i="4" l="1"/>
  <c r="AB49" i="4"/>
  <c r="P42" i="4"/>
  <c r="P46" i="4"/>
  <c r="G45" i="4"/>
  <c r="H45" i="4" s="1"/>
  <c r="U45" i="4"/>
  <c r="Q45" i="4"/>
  <c r="R45" i="4"/>
  <c r="G42" i="4"/>
  <c r="H42" i="4" s="1"/>
  <c r="Q42" i="4"/>
  <c r="AB42" i="4" s="1"/>
  <c r="R42" i="4"/>
  <c r="U42" i="4"/>
  <c r="R50" i="4"/>
  <c r="AC50" i="4"/>
  <c r="G50" i="4"/>
  <c r="H50" i="4" s="1"/>
  <c r="U50" i="4"/>
  <c r="Z50" i="4"/>
  <c r="D50" i="4"/>
  <c r="E50" i="4"/>
  <c r="F50" i="4"/>
  <c r="P50" i="4"/>
  <c r="Q50" i="4"/>
  <c r="B50" i="4"/>
  <c r="R44" i="4"/>
  <c r="U44" i="4"/>
  <c r="G44" i="4"/>
  <c r="H44" i="4" s="1"/>
  <c r="Q44" i="4"/>
  <c r="P44" i="4"/>
  <c r="B49" i="4"/>
  <c r="U49" i="4"/>
  <c r="Z49" i="4"/>
  <c r="D49" i="4"/>
  <c r="E49" i="4"/>
  <c r="AC49" i="4"/>
  <c r="G49" i="4"/>
  <c r="H49" i="4" s="1"/>
  <c r="F49" i="4"/>
  <c r="P49" i="4"/>
  <c r="Q49" i="4"/>
  <c r="R49" i="4"/>
  <c r="R47" i="4"/>
  <c r="G47" i="4"/>
  <c r="H47" i="4" s="1"/>
  <c r="Q47" i="4"/>
  <c r="AB47" i="4" s="1"/>
  <c r="U47" i="4"/>
  <c r="R43" i="4"/>
  <c r="Q43" i="4"/>
  <c r="AB43" i="4" s="1"/>
  <c r="G43" i="4"/>
  <c r="H43" i="4" s="1"/>
  <c r="U43" i="4"/>
  <c r="G46" i="4"/>
  <c r="H46" i="4" s="1"/>
  <c r="Q46" i="4"/>
  <c r="AB46" i="4" s="1"/>
  <c r="R46" i="4"/>
  <c r="U46" i="4"/>
  <c r="G48" i="4"/>
  <c r="H48" i="4" s="1"/>
  <c r="Q48" i="4"/>
  <c r="R48" i="4"/>
  <c r="U48" i="4"/>
  <c r="P16" i="4"/>
  <c r="P7" i="4"/>
  <c r="P20" i="4"/>
  <c r="P18" i="4"/>
  <c r="P31" i="4"/>
  <c r="P23" i="4"/>
  <c r="P9" i="4"/>
  <c r="P15" i="4"/>
  <c r="P2" i="4"/>
  <c r="P21" i="4"/>
  <c r="P8" i="4"/>
  <c r="Q4" i="4"/>
  <c r="U4" i="4"/>
  <c r="R4" i="4"/>
  <c r="G4" i="4"/>
  <c r="H4" i="4" s="1"/>
  <c r="R17" i="4"/>
  <c r="U17" i="4"/>
  <c r="Q17" i="4"/>
  <c r="G17" i="4"/>
  <c r="H17" i="4" s="1"/>
  <c r="Q16" i="4"/>
  <c r="R16" i="4"/>
  <c r="G16" i="4"/>
  <c r="H16" i="4" s="1"/>
  <c r="U16" i="4"/>
  <c r="U39" i="4"/>
  <c r="R39" i="4"/>
  <c r="P39" i="4"/>
  <c r="G39" i="4"/>
  <c r="H39" i="4" s="1"/>
  <c r="Q39" i="4"/>
  <c r="U40" i="4"/>
  <c r="Q40" i="4"/>
  <c r="G40" i="4"/>
  <c r="H40" i="4" s="1"/>
  <c r="P40" i="4"/>
  <c r="R40" i="4"/>
  <c r="U36" i="4"/>
  <c r="G36" i="4"/>
  <c r="H36" i="4" s="1"/>
  <c r="P36" i="4"/>
  <c r="Q36" i="4"/>
  <c r="R36" i="4"/>
  <c r="R30" i="4"/>
  <c r="G30" i="4"/>
  <c r="H30" i="4" s="1"/>
  <c r="Q30" i="4"/>
  <c r="U30" i="4"/>
  <c r="P30" i="4"/>
  <c r="R29" i="4"/>
  <c r="G29" i="4"/>
  <c r="H29" i="4" s="1"/>
  <c r="Q29" i="4"/>
  <c r="U29" i="4"/>
  <c r="Q11" i="4"/>
  <c r="R11" i="4"/>
  <c r="U11" i="4"/>
  <c r="G11" i="4"/>
  <c r="H11" i="4" s="1"/>
  <c r="U19" i="4"/>
  <c r="Q19" i="4"/>
  <c r="G19" i="4"/>
  <c r="H19" i="4" s="1"/>
  <c r="R19" i="4"/>
  <c r="G22" i="4"/>
  <c r="H22" i="4" s="1"/>
  <c r="R22" i="4"/>
  <c r="Q22" i="4"/>
  <c r="U22" i="4"/>
  <c r="G7" i="4"/>
  <c r="H7" i="4" s="1"/>
  <c r="U7" i="4"/>
  <c r="Q7" i="4"/>
  <c r="R7" i="4"/>
  <c r="G20" i="4"/>
  <c r="H20" i="4" s="1"/>
  <c r="U20" i="4"/>
  <c r="Q20" i="4"/>
  <c r="R20" i="4"/>
  <c r="U18" i="4"/>
  <c r="G18" i="4"/>
  <c r="H18" i="4" s="1"/>
  <c r="Q18" i="4"/>
  <c r="R18" i="4"/>
  <c r="U38" i="4"/>
  <c r="Q38" i="4"/>
  <c r="G38" i="4"/>
  <c r="H38" i="4" s="1"/>
  <c r="R38" i="4"/>
  <c r="G32" i="4"/>
  <c r="H32" i="4" s="1"/>
  <c r="U32" i="4"/>
  <c r="Q32" i="4"/>
  <c r="R32" i="4"/>
  <c r="Q5" i="4"/>
  <c r="U5" i="4"/>
  <c r="G5" i="4"/>
  <c r="H5" i="4" s="1"/>
  <c r="R5" i="4"/>
  <c r="G31" i="4"/>
  <c r="H31" i="4" s="1"/>
  <c r="U31" i="4"/>
  <c r="R31" i="4"/>
  <c r="Q31" i="4"/>
  <c r="R23" i="4"/>
  <c r="Q23" i="4"/>
  <c r="G23" i="4"/>
  <c r="H23" i="4" s="1"/>
  <c r="U23" i="4"/>
  <c r="U25" i="4"/>
  <c r="R25" i="4"/>
  <c r="G25" i="4"/>
  <c r="H25" i="4" s="1"/>
  <c r="Q25" i="4"/>
  <c r="R9" i="4"/>
  <c r="Q9" i="4"/>
  <c r="G9" i="4"/>
  <c r="H9" i="4" s="1"/>
  <c r="U9" i="4"/>
  <c r="R6" i="4"/>
  <c r="G6" i="4"/>
  <c r="H6" i="4" s="1"/>
  <c r="Q6" i="4"/>
  <c r="U6" i="4"/>
  <c r="Q27" i="4"/>
  <c r="R27" i="4"/>
  <c r="G27" i="4"/>
  <c r="H27" i="4" s="1"/>
  <c r="U27" i="4"/>
  <c r="G15" i="4"/>
  <c r="H15" i="4" s="1"/>
  <c r="Q15" i="4"/>
  <c r="U15" i="4"/>
  <c r="R15" i="4"/>
  <c r="Q34" i="4"/>
  <c r="G34" i="4"/>
  <c r="H34" i="4" s="1"/>
  <c r="U34" i="4"/>
  <c r="R34" i="4"/>
  <c r="Q13" i="4"/>
  <c r="R13" i="4"/>
  <c r="U13" i="4"/>
  <c r="G13" i="4"/>
  <c r="H13" i="4" s="1"/>
  <c r="Q24" i="4"/>
  <c r="R24" i="4"/>
  <c r="U24" i="4"/>
  <c r="G24" i="4"/>
  <c r="H24" i="4" s="1"/>
  <c r="Q2" i="4"/>
  <c r="G2" i="4"/>
  <c r="H2" i="4" s="1"/>
  <c r="R2" i="4"/>
  <c r="U2" i="4"/>
  <c r="U35" i="4"/>
  <c r="P35" i="4"/>
  <c r="Q35" i="4"/>
  <c r="G35" i="4"/>
  <c r="H35" i="4" s="1"/>
  <c r="R35" i="4"/>
  <c r="U37" i="4"/>
  <c r="R37" i="4"/>
  <c r="Q37" i="4"/>
  <c r="G37" i="4"/>
  <c r="H37" i="4" s="1"/>
  <c r="U21" i="4"/>
  <c r="R21" i="4"/>
  <c r="G21" i="4"/>
  <c r="H21" i="4" s="1"/>
  <c r="Q21" i="4"/>
  <c r="U12" i="4"/>
  <c r="G12" i="4"/>
  <c r="H12" i="4" s="1"/>
  <c r="Q12" i="4"/>
  <c r="R12" i="4"/>
  <c r="U10" i="4"/>
  <c r="G10" i="4"/>
  <c r="H10" i="4" s="1"/>
  <c r="Q10" i="4"/>
  <c r="R10" i="4"/>
  <c r="Q8" i="4"/>
  <c r="G8" i="4"/>
  <c r="H8" i="4" s="1"/>
  <c r="R8" i="4"/>
  <c r="U8" i="4"/>
  <c r="G14" i="4"/>
  <c r="H14" i="4" s="1"/>
  <c r="Q14" i="4"/>
  <c r="U14" i="4"/>
  <c r="R14" i="4"/>
  <c r="R28" i="4"/>
  <c r="Q28" i="4"/>
  <c r="U28" i="4"/>
  <c r="G28" i="4"/>
  <c r="H28" i="4" s="1"/>
  <c r="Q41" i="4"/>
  <c r="G41" i="4"/>
  <c r="H41" i="4" s="1"/>
  <c r="R41" i="4"/>
  <c r="U41" i="4"/>
  <c r="U3" i="4"/>
  <c r="R3" i="4"/>
  <c r="Q3" i="4"/>
  <c r="G3" i="4"/>
  <c r="H3" i="4" s="1"/>
  <c r="R33" i="4"/>
  <c r="Q33" i="4"/>
  <c r="G33" i="4"/>
  <c r="H33" i="4" s="1"/>
  <c r="U33" i="4"/>
  <c r="R26" i="4"/>
  <c r="U26" i="4"/>
  <c r="Q26" i="4"/>
  <c r="G26" i="4"/>
  <c r="H26" i="4" s="1"/>
  <c r="F11" i="4"/>
  <c r="E45" i="4"/>
  <c r="F35" i="4"/>
  <c r="D3" i="4"/>
  <c r="E37" i="4"/>
  <c r="D42" i="4"/>
  <c r="D4" i="4"/>
  <c r="F27" i="4"/>
  <c r="D16" i="4"/>
  <c r="E20" i="4"/>
  <c r="D24" i="4"/>
  <c r="O20" i="4"/>
  <c r="F23" i="4"/>
  <c r="K49" i="4"/>
  <c r="E42" i="4"/>
  <c r="E7" i="4"/>
  <c r="F48" i="4"/>
  <c r="F40" i="4"/>
  <c r="D48" i="4"/>
  <c r="E22" i="4"/>
  <c r="D39" i="4"/>
  <c r="F2" i="4"/>
  <c r="B32" i="4"/>
  <c r="E17" i="4"/>
  <c r="D15" i="4"/>
  <c r="E48" i="4"/>
  <c r="E32" i="4"/>
  <c r="B40" i="4"/>
  <c r="E27" i="4"/>
  <c r="E29" i="4"/>
  <c r="D44" i="4"/>
  <c r="D9" i="4"/>
  <c r="F5" i="4"/>
  <c r="D21" i="4"/>
  <c r="B36" i="4"/>
  <c r="E40" i="4"/>
  <c r="D28" i="4"/>
  <c r="B22" i="4"/>
  <c r="D31" i="4"/>
  <c r="D5" i="4"/>
  <c r="C6" i="9"/>
  <c r="E44" i="4"/>
  <c r="B48" i="4"/>
  <c r="Y6" i="4"/>
  <c r="Y32" i="4"/>
  <c r="X10" i="4"/>
  <c r="Y34" i="4"/>
  <c r="Y17" i="4"/>
  <c r="X38" i="4"/>
  <c r="X43" i="4"/>
  <c r="Y24" i="4"/>
  <c r="Y37" i="4"/>
  <c r="Y38" i="4"/>
  <c r="X26" i="4"/>
  <c r="X13" i="4"/>
  <c r="X28" i="4"/>
  <c r="Y33" i="4"/>
  <c r="X12" i="4"/>
  <c r="Y4" i="4"/>
  <c r="Y26" i="4"/>
  <c r="Y45" i="4"/>
  <c r="Y41" i="4"/>
  <c r="X25" i="4"/>
  <c r="X47" i="4"/>
  <c r="Y12" i="4"/>
  <c r="X27" i="4"/>
  <c r="X19" i="4"/>
  <c r="Y3" i="4"/>
  <c r="X29" i="4"/>
  <c r="Y13" i="4"/>
  <c r="Y50" i="4"/>
  <c r="X33" i="4"/>
  <c r="X17" i="4"/>
  <c r="Y22" i="4"/>
  <c r="X5" i="4"/>
  <c r="Y19" i="4"/>
  <c r="Y10" i="4"/>
  <c r="Y5" i="4"/>
  <c r="X11" i="4"/>
  <c r="X22" i="4"/>
  <c r="Y14" i="4"/>
  <c r="Y28" i="4"/>
  <c r="X32" i="4"/>
  <c r="AB48" i="4" l="1"/>
  <c r="P5" i="4"/>
  <c r="P38" i="4"/>
  <c r="P14" i="4"/>
  <c r="P6" i="4"/>
  <c r="P22" i="4"/>
  <c r="P32" i="4"/>
  <c r="P33" i="4"/>
  <c r="P19" i="4"/>
  <c r="P34" i="4"/>
  <c r="P43" i="4"/>
  <c r="P28" i="4"/>
  <c r="P3" i="4"/>
  <c r="P45" i="4"/>
  <c r="P24" i="4"/>
  <c r="P29" i="4"/>
  <c r="P27" i="4"/>
  <c r="P25" i="4"/>
  <c r="P10" i="4"/>
  <c r="P37" i="4"/>
  <c r="P17" i="4"/>
  <c r="P47" i="4"/>
  <c r="P4" i="4"/>
  <c r="P11" i="4"/>
  <c r="P13" i="4"/>
  <c r="P12" i="4"/>
  <c r="P41" i="4"/>
  <c r="P26" i="4"/>
  <c r="B20" i="4"/>
  <c r="B39" i="4"/>
  <c r="F9" i="4"/>
  <c r="F34" i="4"/>
  <c r="B2" i="4"/>
  <c r="F44" i="4"/>
  <c r="F7" i="4"/>
  <c r="B37" i="4"/>
  <c r="F20" i="4"/>
  <c r="B21" i="4"/>
  <c r="D40" i="4"/>
  <c r="B29" i="4"/>
  <c r="K50" i="4"/>
  <c r="E28" i="4"/>
  <c r="B7" i="4"/>
  <c r="F8" i="4"/>
  <c r="E21" i="4"/>
  <c r="E36" i="4"/>
  <c r="D27" i="4"/>
  <c r="D30" i="4"/>
  <c r="D29" i="4"/>
  <c r="F16" i="4"/>
  <c r="B17" i="4"/>
  <c r="B41" i="4"/>
  <c r="F36" i="4"/>
  <c r="E4" i="4"/>
  <c r="D34" i="4"/>
  <c r="F33" i="4"/>
  <c r="E33" i="4"/>
  <c r="B26" i="4"/>
  <c r="B45" i="4"/>
  <c r="E6" i="4"/>
  <c r="D35" i="4"/>
  <c r="E25" i="4"/>
  <c r="E11" i="4"/>
  <c r="F4" i="4"/>
  <c r="F12" i="4"/>
  <c r="F28" i="4"/>
  <c r="N50" i="4"/>
  <c r="E2" i="4"/>
  <c r="E16" i="4"/>
  <c r="B25" i="4"/>
  <c r="F15" i="4"/>
  <c r="B5" i="4"/>
  <c r="B15" i="4"/>
  <c r="D47" i="4"/>
  <c r="E26" i="4"/>
  <c r="E3" i="4"/>
  <c r="F25" i="4"/>
  <c r="B35" i="4"/>
  <c r="F39" i="4"/>
  <c r="F14" i="4"/>
  <c r="B3" i="4"/>
  <c r="B12" i="4"/>
  <c r="B8" i="4"/>
  <c r="E35" i="4"/>
  <c r="E34" i="4"/>
  <c r="F13" i="4"/>
  <c r="E41" i="4"/>
  <c r="D18" i="4"/>
  <c r="E30" i="4"/>
  <c r="F29" i="4"/>
  <c r="F3" i="4"/>
  <c r="D23" i="4"/>
  <c r="B14" i="4"/>
  <c r="F37" i="4"/>
  <c r="D43" i="4"/>
  <c r="D8" i="4"/>
  <c r="E13" i="4"/>
  <c r="F42" i="4"/>
  <c r="D26" i="4"/>
  <c r="B33" i="4"/>
  <c r="D36" i="4"/>
  <c r="F38" i="4"/>
  <c r="F47" i="4"/>
  <c r="D33" i="4"/>
  <c r="B30" i="4"/>
  <c r="B13" i="4"/>
  <c r="F22" i="4"/>
  <c r="N49" i="4"/>
  <c r="D14" i="4"/>
  <c r="F24" i="4"/>
  <c r="F18" i="4"/>
  <c r="F41" i="4"/>
  <c r="D41" i="4"/>
  <c r="B19" i="4"/>
  <c r="D37" i="4"/>
  <c r="D32" i="4"/>
  <c r="E39" i="4"/>
  <c r="F43" i="4"/>
  <c r="F10" i="4"/>
  <c r="F31" i="4"/>
  <c r="B31" i="4"/>
  <c r="E24" i="4"/>
  <c r="B11" i="4"/>
  <c r="D45" i="4"/>
  <c r="E23" i="4"/>
  <c r="E47" i="4"/>
  <c r="F32" i="4"/>
  <c r="D10" i="4"/>
  <c r="O21" i="4"/>
  <c r="D12" i="4"/>
  <c r="D20" i="4"/>
  <c r="D6" i="4"/>
  <c r="E31" i="4"/>
  <c r="K48" i="4"/>
  <c r="B27" i="4"/>
  <c r="D46" i="4"/>
  <c r="D11" i="4"/>
  <c r="E43" i="4"/>
  <c r="B38" i="4"/>
  <c r="E15" i="4"/>
  <c r="B24" i="4"/>
  <c r="D19" i="4"/>
  <c r="E9" i="4"/>
  <c r="E19" i="4"/>
  <c r="F17" i="4"/>
  <c r="D2" i="4"/>
  <c r="B44" i="4"/>
  <c r="E12" i="4"/>
  <c r="B10" i="4"/>
  <c r="E5" i="4"/>
  <c r="D22" i="4"/>
  <c r="B16" i="4"/>
  <c r="B34" i="4"/>
  <c r="F26" i="4"/>
  <c r="D17" i="4"/>
  <c r="E10" i="4"/>
  <c r="E18" i="4"/>
  <c r="F21" i="4"/>
  <c r="F19" i="4"/>
  <c r="E14" i="4"/>
  <c r="F6" i="4"/>
  <c r="D13" i="4"/>
  <c r="B18" i="4"/>
  <c r="B9" i="4"/>
  <c r="D38" i="4"/>
  <c r="F46" i="4"/>
  <c r="B28" i="4"/>
  <c r="B6" i="4"/>
  <c r="B4" i="4"/>
  <c r="D25" i="4"/>
  <c r="D7" i="4"/>
  <c r="E46" i="4"/>
  <c r="E8" i="4"/>
  <c r="E38" i="4"/>
  <c r="F30" i="4"/>
  <c r="B23" i="4"/>
  <c r="Z27" i="4"/>
  <c r="Z24" i="4"/>
  <c r="N10" i="4"/>
  <c r="N15" i="4"/>
  <c r="Z42" i="4"/>
  <c r="N42" i="4"/>
  <c r="Z22" i="4"/>
  <c r="N6" i="4"/>
  <c r="Z33" i="4"/>
  <c r="Z46" i="4"/>
  <c r="N38" i="4"/>
  <c r="N21" i="4"/>
  <c r="N12" i="4"/>
  <c r="Z20" i="4"/>
  <c r="Z35" i="4"/>
  <c r="Z16" i="4"/>
  <c r="N31" i="4"/>
  <c r="Z43" i="4"/>
  <c r="N17" i="4"/>
  <c r="Z12" i="4"/>
  <c r="Z37" i="4"/>
  <c r="Z30" i="4"/>
  <c r="Z15" i="4"/>
  <c r="N36" i="4"/>
  <c r="N39" i="4"/>
  <c r="Z29" i="4"/>
  <c r="Z28" i="4"/>
  <c r="Z44" i="4"/>
  <c r="N40" i="4"/>
  <c r="Z21" i="4"/>
  <c r="N35" i="4"/>
  <c r="Z23" i="4"/>
  <c r="Z19" i="4"/>
  <c r="X49" i="4"/>
  <c r="N22" i="4"/>
  <c r="N16" i="4"/>
  <c r="N4" i="4"/>
  <c r="Z7" i="4"/>
  <c r="N26" i="4"/>
  <c r="Z3" i="4"/>
  <c r="N20" i="4"/>
  <c r="Z18" i="4"/>
  <c r="N8" i="4"/>
  <c r="Z26" i="4"/>
  <c r="N2" i="4"/>
  <c r="N47" i="4"/>
  <c r="X48" i="4"/>
  <c r="N37" i="4"/>
  <c r="Z10" i="4"/>
  <c r="Z47" i="4"/>
  <c r="Z25" i="4"/>
  <c r="Z5" i="4"/>
  <c r="N13" i="4"/>
  <c r="N24" i="4"/>
  <c r="N23" i="4"/>
  <c r="Z9" i="4"/>
  <c r="N27" i="4"/>
  <c r="N18" i="4"/>
  <c r="N14" i="4"/>
  <c r="N44" i="4"/>
  <c r="N3" i="4"/>
  <c r="Z17" i="4"/>
  <c r="Z39" i="4"/>
  <c r="Z13" i="4"/>
  <c r="Z34" i="4"/>
  <c r="N25" i="4"/>
  <c r="Z4" i="4"/>
  <c r="Z8" i="4"/>
  <c r="Z6" i="4"/>
  <c r="Z40" i="4"/>
  <c r="Z31" i="4"/>
  <c r="N46" i="4"/>
  <c r="N34" i="4"/>
  <c r="N45" i="4"/>
  <c r="Z41" i="4"/>
  <c r="Z11" i="4"/>
  <c r="N19" i="4"/>
  <c r="N41" i="4"/>
  <c r="N5" i="4"/>
  <c r="N30" i="4"/>
  <c r="N11" i="4"/>
  <c r="Z32" i="4"/>
  <c r="N7" i="4"/>
  <c r="Z2" i="4"/>
  <c r="Z14" i="4"/>
  <c r="Z38" i="4"/>
  <c r="N43" i="4"/>
  <c r="N9" i="4"/>
  <c r="N32" i="4"/>
  <c r="N29" i="4"/>
  <c r="N28" i="4"/>
  <c r="Z45" i="4"/>
  <c r="N33" i="4"/>
  <c r="Z36" i="4"/>
  <c r="P48" i="4" l="1"/>
  <c r="AB44" i="4"/>
  <c r="A1" i="8"/>
  <c r="AB45" i="4"/>
  <c r="AB21" i="4"/>
  <c r="AB20" i="4"/>
  <c r="AB28" i="4"/>
  <c r="AB34" i="4"/>
  <c r="AB5" i="4"/>
  <c r="AB36" i="4"/>
  <c r="AB33" i="4"/>
  <c r="AB25" i="4"/>
  <c r="AB32" i="4"/>
  <c r="AB16" i="4"/>
  <c r="AB6" i="4"/>
  <c r="AB10" i="4"/>
  <c r="AB18" i="4"/>
  <c r="AB17" i="4"/>
  <c r="AB9" i="4"/>
  <c r="AB26" i="4"/>
  <c r="AB13" i="4"/>
  <c r="AB30" i="4"/>
  <c r="AB4" i="4"/>
  <c r="AB15" i="4"/>
  <c r="AB11" i="4"/>
  <c r="AB37" i="4"/>
  <c r="AB24" i="4"/>
  <c r="AB23" i="4"/>
  <c r="AB22" i="4"/>
  <c r="AB41" i="4"/>
  <c r="AB19" i="4"/>
  <c r="AB12" i="4"/>
  <c r="AB2" i="4"/>
  <c r="AB7" i="4"/>
  <c r="AB14" i="4"/>
  <c r="AB27" i="4"/>
  <c r="AB38" i="4"/>
  <c r="AB40" i="4"/>
  <c r="AB39" i="4"/>
  <c r="AB35" i="4"/>
  <c r="AB3" i="4"/>
  <c r="AB29" i="4"/>
  <c r="AB8" i="4"/>
  <c r="AB31" i="4"/>
  <c r="I49" i="4"/>
  <c r="I50" i="4"/>
  <c r="B21" i="6"/>
  <c r="AL28" i="4" s="1"/>
  <c r="I46" i="4"/>
  <c r="I8" i="4"/>
  <c r="I38" i="4"/>
  <c r="K46" i="4"/>
  <c r="I5" i="4"/>
  <c r="I44" i="4"/>
  <c r="I48" i="4"/>
  <c r="AF10" i="4"/>
  <c r="K18" i="4"/>
  <c r="AF25" i="4"/>
  <c r="K35" i="4"/>
  <c r="K45" i="4"/>
  <c r="I4" i="4"/>
  <c r="I20" i="4"/>
  <c r="AF33" i="4"/>
  <c r="AF24" i="4"/>
  <c r="K40" i="4"/>
  <c r="I19" i="4"/>
  <c r="K38" i="4"/>
  <c r="O46" i="4"/>
  <c r="I27" i="4"/>
  <c r="I24" i="4"/>
  <c r="I29" i="4"/>
  <c r="AF13" i="4"/>
  <c r="I33" i="4"/>
  <c r="I26" i="4"/>
  <c r="AF28" i="4"/>
  <c r="I42" i="4"/>
  <c r="K19" i="4"/>
  <c r="AF12" i="4"/>
  <c r="K21" i="4"/>
  <c r="I15" i="4"/>
  <c r="K43" i="4"/>
  <c r="K17" i="4"/>
  <c r="AF40" i="4"/>
  <c r="AF9" i="4"/>
  <c r="I6" i="4"/>
  <c r="AF16" i="4"/>
  <c r="AF3" i="4"/>
  <c r="I40" i="4"/>
  <c r="AF31" i="4"/>
  <c r="AF38" i="4"/>
  <c r="I36" i="4"/>
  <c r="I11" i="4"/>
  <c r="I12" i="4"/>
  <c r="K16" i="4"/>
  <c r="K31" i="4"/>
  <c r="I43" i="4"/>
  <c r="AF17" i="4"/>
  <c r="K7" i="4"/>
  <c r="K34" i="4"/>
  <c r="AF36" i="4"/>
  <c r="K4" i="4"/>
  <c r="K37" i="4"/>
  <c r="I32" i="4"/>
  <c r="I13" i="4"/>
  <c r="AF8" i="4"/>
  <c r="I18" i="4"/>
  <c r="I16" i="4"/>
  <c r="AF37" i="4"/>
  <c r="I35" i="4"/>
  <c r="B3" i="8" a="1"/>
  <c r="K27" i="4"/>
  <c r="K5" i="4"/>
  <c r="I31" i="4"/>
  <c r="K11" i="4"/>
  <c r="I10" i="4"/>
  <c r="K8" i="4"/>
  <c r="AF34" i="4"/>
  <c r="AF18" i="4"/>
  <c r="K15" i="4"/>
  <c r="AF26" i="4"/>
  <c r="I21" i="4"/>
  <c r="K23" i="4"/>
  <c r="I25" i="4"/>
  <c r="L50" i="4"/>
  <c r="I2" i="4"/>
  <c r="I22" i="4"/>
  <c r="K3" i="4"/>
  <c r="K9" i="4"/>
  <c r="K30" i="4"/>
  <c r="AF22" i="4"/>
  <c r="K29" i="4"/>
  <c r="K42" i="4"/>
  <c r="AF5" i="4"/>
  <c r="K6" i="4"/>
  <c r="I3" i="4"/>
  <c r="K41" i="4"/>
  <c r="K2" i="4"/>
  <c r="I23" i="4"/>
  <c r="AF14" i="4"/>
  <c r="K47" i="4"/>
  <c r="I45" i="4"/>
  <c r="AF19" i="4"/>
  <c r="AF23" i="4"/>
  <c r="AF4" i="4"/>
  <c r="I39" i="4"/>
  <c r="AF6" i="4"/>
  <c r="K12" i="4"/>
  <c r="AF29" i="4"/>
  <c r="I41" i="4"/>
  <c r="K28" i="4"/>
  <c r="K14" i="4"/>
  <c r="I14" i="4"/>
  <c r="AF11" i="4"/>
  <c r="I17" i="4"/>
  <c r="K33" i="4"/>
  <c r="K20" i="4"/>
  <c r="AF39" i="4"/>
  <c r="K22" i="4"/>
  <c r="I9" i="4"/>
  <c r="AF30" i="4"/>
  <c r="K13" i="4"/>
  <c r="AF32" i="4"/>
  <c r="I34" i="4"/>
  <c r="I28" i="4"/>
  <c r="AF7" i="4"/>
  <c r="AF15" i="4"/>
  <c r="I7" i="4"/>
  <c r="K24" i="4"/>
  <c r="AF41" i="4"/>
  <c r="K39" i="4"/>
  <c r="K32" i="4"/>
  <c r="O47" i="4"/>
  <c r="K25" i="4"/>
  <c r="K44" i="4"/>
  <c r="K10" i="4"/>
  <c r="AF27" i="4"/>
  <c r="AF21" i="4"/>
  <c r="I30" i="4"/>
  <c r="AF20" i="4"/>
  <c r="K36" i="4"/>
  <c r="I47" i="4"/>
  <c r="L49" i="4"/>
  <c r="AF2" i="4"/>
  <c r="K26" i="4"/>
  <c r="AF35" i="4"/>
  <c r="I37" i="4"/>
  <c r="Z48" i="4"/>
  <c r="N48" i="4"/>
  <c r="AG38" i="4" l="1"/>
  <c r="AG21" i="4"/>
  <c r="AG13" i="4"/>
  <c r="AG33" i="4"/>
  <c r="AG30" i="4"/>
  <c r="AG18" i="4"/>
  <c r="G9" i="8"/>
  <c r="P7" i="8"/>
  <c r="G11" i="8"/>
  <c r="K24" i="8"/>
  <c r="D8" i="8"/>
  <c r="I22" i="8"/>
  <c r="S35" i="8"/>
  <c r="U3" i="8"/>
  <c r="B19" i="8"/>
  <c r="O32" i="8"/>
  <c r="L45" i="8"/>
  <c r="H58" i="8"/>
  <c r="J7" i="8"/>
  <c r="R21" i="8"/>
  <c r="I35" i="8"/>
  <c r="E48" i="8"/>
  <c r="Q19" i="8"/>
  <c r="J36" i="8"/>
  <c r="P51" i="8"/>
  <c r="C5" i="8"/>
  <c r="B23" i="8"/>
  <c r="K39" i="8"/>
  <c r="I54" i="8"/>
  <c r="J11" i="8"/>
  <c r="K10" i="8"/>
  <c r="P27" i="8"/>
  <c r="Q43" i="8"/>
  <c r="D58" i="8"/>
  <c r="J12" i="8"/>
  <c r="D34" i="8"/>
  <c r="T52" i="8"/>
  <c r="B3" i="8"/>
  <c r="C10" i="8"/>
  <c r="G3" i="8"/>
  <c r="D12" i="8"/>
  <c r="G25" i="8"/>
  <c r="B9" i="8"/>
  <c r="F23" i="8"/>
  <c r="O36" i="8"/>
  <c r="B5" i="8"/>
  <c r="S19" i="8"/>
  <c r="L33" i="8"/>
  <c r="H46" i="8"/>
  <c r="D59" i="8"/>
  <c r="J8" i="8"/>
  <c r="O22" i="8"/>
  <c r="E36" i="8"/>
  <c r="U48" i="8"/>
  <c r="S20" i="8"/>
  <c r="I37" i="8"/>
  <c r="M52" i="8"/>
  <c r="H6" i="8"/>
  <c r="B24" i="8"/>
  <c r="J40" i="8"/>
  <c r="F55" i="8"/>
  <c r="L12" i="8"/>
  <c r="L11" i="8"/>
  <c r="Q28" i="8"/>
  <c r="R44" i="8"/>
  <c r="U58" i="8"/>
  <c r="B14" i="8"/>
  <c r="H35" i="8"/>
  <c r="U53" i="8"/>
  <c r="N4" i="8"/>
  <c r="S10" i="8"/>
  <c r="C4" i="8"/>
  <c r="U12" i="8"/>
  <c r="C26" i="8"/>
  <c r="T9" i="8"/>
  <c r="C24" i="8"/>
  <c r="K37" i="8"/>
  <c r="B6" i="8"/>
  <c r="P20" i="8"/>
  <c r="H34" i="8"/>
  <c r="D47" i="8"/>
  <c r="T59" i="8"/>
  <c r="I9" i="8"/>
  <c r="L23" i="8"/>
  <c r="U36" i="8"/>
  <c r="M3" i="8"/>
  <c r="T21" i="8"/>
  <c r="J38" i="8"/>
  <c r="J53" i="8"/>
  <c r="M7" i="8"/>
  <c r="D25" i="8"/>
  <c r="I41" i="8"/>
  <c r="C56" i="8"/>
  <c r="O13" i="8"/>
  <c r="N12" i="8"/>
  <c r="Q29" i="8"/>
  <c r="R45" i="8"/>
  <c r="R59" i="8"/>
  <c r="H15" i="8"/>
  <c r="M36" i="8"/>
  <c r="U54" i="8"/>
  <c r="J6" i="8"/>
  <c r="O3" i="8"/>
  <c r="K16" i="8"/>
  <c r="R4" i="8"/>
  <c r="S18" i="8"/>
  <c r="O31" i="8"/>
  <c r="G16" i="8"/>
  <c r="B30" i="8"/>
  <c r="C43" i="8"/>
  <c r="P12" i="8"/>
  <c r="O26" i="8"/>
  <c r="T39" i="8"/>
  <c r="P52" i="8"/>
  <c r="L65" i="8"/>
  <c r="Q15" i="8"/>
  <c r="L29" i="8"/>
  <c r="M42" i="8"/>
  <c r="E12" i="8"/>
  <c r="H29" i="8"/>
  <c r="G45" i="8"/>
  <c r="J59" i="8"/>
  <c r="M15" i="8"/>
  <c r="J32" i="8"/>
  <c r="K8" i="8"/>
  <c r="G7" i="8"/>
  <c r="K20" i="8"/>
  <c r="C7" i="8"/>
  <c r="K27" i="8"/>
  <c r="O44" i="8"/>
  <c r="E18" i="8"/>
  <c r="L37" i="8"/>
  <c r="H54" i="8"/>
  <c r="I6" i="8"/>
  <c r="U26" i="8"/>
  <c r="E44" i="8"/>
  <c r="P18" i="8"/>
  <c r="I42" i="8"/>
  <c r="D61" i="8"/>
  <c r="U21" i="8"/>
  <c r="H45" i="8"/>
  <c r="B62" i="8"/>
  <c r="M5" i="8"/>
  <c r="M26" i="8"/>
  <c r="O48" i="8"/>
  <c r="U64" i="8"/>
  <c r="Q27" i="8"/>
  <c r="Q50" i="8"/>
  <c r="N9" i="8"/>
  <c r="N31" i="8"/>
  <c r="R50" i="8"/>
  <c r="C67" i="8"/>
  <c r="T23" i="8"/>
  <c r="B44" i="8"/>
  <c r="J61" i="8"/>
  <c r="R15" i="8"/>
  <c r="R36" i="8"/>
  <c r="G55" i="8"/>
  <c r="I8" i="8"/>
  <c r="N30" i="8"/>
  <c r="U49" i="8"/>
  <c r="I66" i="8"/>
  <c r="G24" i="8"/>
  <c r="F44" i="8"/>
  <c r="O61" i="8"/>
  <c r="L17" i="8"/>
  <c r="E38" i="8"/>
  <c r="K12" i="8"/>
  <c r="S3" i="8"/>
  <c r="C22" i="8"/>
  <c r="Q11" i="8"/>
  <c r="E29" i="8"/>
  <c r="G46" i="8"/>
  <c r="J22" i="8"/>
  <c r="D39" i="8"/>
  <c r="T55" i="8"/>
  <c r="E11" i="8"/>
  <c r="O28" i="8"/>
  <c r="Q45" i="8"/>
  <c r="U23" i="8"/>
  <c r="H44" i="8"/>
  <c r="R62" i="8"/>
  <c r="F27" i="8"/>
  <c r="H47" i="8"/>
  <c r="K5" i="8"/>
  <c r="F8" i="8"/>
  <c r="T31" i="8"/>
  <c r="K50" i="8"/>
  <c r="O66" i="8"/>
  <c r="G30" i="8"/>
  <c r="D56" i="8"/>
  <c r="M12" i="8"/>
  <c r="E34" i="8"/>
  <c r="U52" i="8"/>
  <c r="D3" i="8"/>
  <c r="L26" i="8"/>
  <c r="K46" i="8"/>
  <c r="K63" i="8"/>
  <c r="N18" i="8"/>
  <c r="F39" i="8"/>
  <c r="H57" i="8"/>
  <c r="I11" i="8"/>
  <c r="E33" i="8"/>
  <c r="D52" i="8"/>
  <c r="I3" i="8"/>
  <c r="R26" i="8"/>
  <c r="O46" i="8"/>
  <c r="N63" i="8"/>
  <c r="I20" i="8"/>
  <c r="N40" i="8"/>
  <c r="L58" i="8"/>
  <c r="D13" i="8"/>
  <c r="P34" i="8"/>
  <c r="O15" i="8"/>
  <c r="P8" i="8"/>
  <c r="O27" i="8"/>
  <c r="I15" i="8"/>
  <c r="P3" i="8"/>
  <c r="L15" i="8"/>
  <c r="U4" i="8"/>
  <c r="T30" i="8"/>
  <c r="D7" i="8"/>
  <c r="L27" i="8"/>
  <c r="T47" i="8"/>
  <c r="H66" i="8"/>
  <c r="I24" i="8"/>
  <c r="I43" i="8"/>
  <c r="C25" i="8"/>
  <c r="G48" i="8"/>
  <c r="C11" i="8"/>
  <c r="L35" i="8"/>
  <c r="Q57" i="8"/>
  <c r="F21" i="8"/>
  <c r="M25" i="8"/>
  <c r="H51" i="8"/>
  <c r="T7" i="8"/>
  <c r="F40" i="8"/>
  <c r="I63" i="8"/>
  <c r="H25" i="8"/>
  <c r="M47" i="8"/>
  <c r="E66" i="8"/>
  <c r="T27" i="8"/>
  <c r="S49" i="8"/>
  <c r="U67" i="8"/>
  <c r="U27" i="8"/>
  <c r="T49" i="8"/>
  <c r="H3" i="8"/>
  <c r="J29" i="8"/>
  <c r="E53" i="8"/>
  <c r="L8" i="8"/>
  <c r="F33" i="8"/>
  <c r="F54" i="8"/>
  <c r="D10" i="8"/>
  <c r="O34" i="8"/>
  <c r="J55" i="8"/>
  <c r="E10" i="8"/>
  <c r="I33" i="8"/>
  <c r="I26" i="8"/>
  <c r="Q61" i="8"/>
  <c r="E37" i="8"/>
  <c r="Q3" i="8"/>
  <c r="R46" i="8"/>
  <c r="J16" i="8"/>
  <c r="M54" i="8"/>
  <c r="H27" i="8"/>
  <c r="C62" i="8"/>
  <c r="M37" i="8"/>
  <c r="I4" i="8"/>
  <c r="E47" i="8"/>
  <c r="P25" i="8"/>
  <c r="S25" i="8"/>
  <c r="T25" i="8"/>
  <c r="U25" i="8"/>
  <c r="B26" i="8"/>
  <c r="G26" i="8"/>
  <c r="J27" i="8"/>
  <c r="L28" i="8"/>
  <c r="N51" i="8"/>
  <c r="O49" i="8"/>
  <c r="H18" i="8"/>
  <c r="N19" i="8"/>
  <c r="G12" i="8"/>
  <c r="F9" i="8"/>
  <c r="Q67" i="8"/>
  <c r="F4" i="8"/>
  <c r="L4" i="8"/>
  <c r="I16" i="8"/>
  <c r="U5" i="8"/>
  <c r="Q31" i="8"/>
  <c r="E8" i="8"/>
  <c r="I28" i="8"/>
  <c r="P48" i="8"/>
  <c r="D67" i="8"/>
  <c r="F25" i="8"/>
  <c r="U44" i="8"/>
  <c r="E26" i="8"/>
  <c r="E49" i="8"/>
  <c r="F12" i="8"/>
  <c r="K36" i="8"/>
  <c r="N58" i="8"/>
  <c r="C3" i="8"/>
  <c r="Q30" i="8"/>
  <c r="E52" i="8"/>
  <c r="L9" i="8"/>
  <c r="J41" i="8"/>
  <c r="H64" i="8"/>
  <c r="K26" i="8"/>
  <c r="Q48" i="8"/>
  <c r="T67" i="8"/>
  <c r="C29" i="8"/>
  <c r="U50" i="8"/>
  <c r="E3" i="8"/>
  <c r="D29" i="8"/>
  <c r="B51" i="8"/>
  <c r="Q4" i="8"/>
  <c r="U31" i="8"/>
  <c r="E54" i="8"/>
  <c r="B10" i="8"/>
  <c r="N34" i="8"/>
  <c r="H5" i="8"/>
  <c r="F17" i="8"/>
  <c r="R10" i="8"/>
  <c r="N32" i="8"/>
  <c r="C9" i="8"/>
  <c r="F29" i="8"/>
  <c r="L49" i="8"/>
  <c r="F3" i="8"/>
  <c r="D26" i="8"/>
  <c r="M46" i="8"/>
  <c r="E27" i="8"/>
  <c r="B50" i="8"/>
  <c r="H13" i="8"/>
  <c r="J37" i="8"/>
  <c r="K59" i="8"/>
  <c r="H4" i="8"/>
  <c r="U32" i="8"/>
  <c r="B53" i="8"/>
  <c r="U10" i="8"/>
  <c r="O42" i="8"/>
  <c r="F65" i="8"/>
  <c r="S27" i="8"/>
  <c r="R49" i="8"/>
  <c r="O4" i="8"/>
  <c r="L30" i="8"/>
  <c r="B52" i="8"/>
  <c r="P4" i="8"/>
  <c r="M30" i="8"/>
  <c r="C52" i="8"/>
  <c r="N6" i="8"/>
  <c r="J34" i="8"/>
  <c r="H55" i="8"/>
  <c r="K11" i="8"/>
  <c r="P35" i="8"/>
  <c r="I56" i="8"/>
  <c r="C13" i="8"/>
  <c r="C37" i="8"/>
  <c r="K57" i="8"/>
  <c r="N14" i="8"/>
  <c r="D37" i="8"/>
  <c r="L31" i="8"/>
  <c r="B65" i="8"/>
  <c r="B42" i="8"/>
  <c r="I10" i="8"/>
  <c r="M50" i="8"/>
  <c r="D22" i="8"/>
  <c r="B58" i="8"/>
  <c r="L32" i="8"/>
  <c r="N65" i="8"/>
  <c r="F42" i="8"/>
  <c r="P10" i="8"/>
  <c r="I51" i="8"/>
  <c r="T33" i="8"/>
  <c r="B34" i="8"/>
  <c r="E35" i="8"/>
  <c r="G35" i="8"/>
  <c r="B36" i="8"/>
  <c r="C36" i="8"/>
  <c r="F36" i="8"/>
  <c r="I36" i="8"/>
  <c r="R64" i="8"/>
  <c r="R24" i="8"/>
  <c r="N37" i="8"/>
  <c r="I38" i="8"/>
  <c r="K31" i="8"/>
  <c r="S28" i="8"/>
  <c r="R67" i="8"/>
  <c r="O7" i="8"/>
  <c r="Q6" i="8"/>
  <c r="G29" i="8"/>
  <c r="O20" i="8"/>
  <c r="K41" i="8"/>
  <c r="H17" i="8"/>
  <c r="P40" i="8"/>
  <c r="P60" i="8"/>
  <c r="O16" i="8"/>
  <c r="Q37" i="8"/>
  <c r="F13" i="8"/>
  <c r="J39" i="8"/>
  <c r="G60" i="8"/>
  <c r="F28" i="8"/>
  <c r="C50" i="8"/>
  <c r="Q14" i="8"/>
  <c r="H19" i="8"/>
  <c r="S40" i="8"/>
  <c r="J62" i="8"/>
  <c r="J26" i="8"/>
  <c r="D57" i="8"/>
  <c r="B17" i="8"/>
  <c r="G40" i="8"/>
  <c r="I60" i="8"/>
  <c r="D17" i="8"/>
  <c r="H40" i="8"/>
  <c r="J60" i="8"/>
  <c r="C20" i="8"/>
  <c r="S42" i="8"/>
  <c r="M62" i="8"/>
  <c r="N21" i="8"/>
  <c r="D44" i="8"/>
  <c r="M63" i="8"/>
  <c r="T22" i="8"/>
  <c r="R47" i="8"/>
  <c r="J66" i="8"/>
  <c r="T26" i="8"/>
  <c r="C49" i="8"/>
  <c r="K66" i="8"/>
  <c r="O25" i="8"/>
  <c r="K9" i="8"/>
  <c r="J50" i="8"/>
  <c r="S21" i="8"/>
  <c r="T57" i="8"/>
  <c r="G32" i="8"/>
  <c r="D65" i="8"/>
  <c r="D42" i="8"/>
  <c r="M10" i="8"/>
  <c r="O50" i="8"/>
  <c r="F22" i="8"/>
  <c r="O58" i="8"/>
  <c r="Q32" i="8"/>
  <c r="Q65" i="8"/>
  <c r="B64" i="8"/>
  <c r="E64" i="8"/>
  <c r="F64" i="8"/>
  <c r="D6" i="8"/>
  <c r="O23" i="8"/>
  <c r="T24" i="8"/>
  <c r="U9" i="8"/>
  <c r="T35" i="8"/>
  <c r="H62" i="8"/>
  <c r="R27" i="8"/>
  <c r="Q8" i="8"/>
  <c r="H41" i="8"/>
  <c r="I14" i="8"/>
  <c r="I46" i="8"/>
  <c r="U16" i="8"/>
  <c r="U33" i="8"/>
  <c r="G57" i="8"/>
  <c r="M31" i="8"/>
  <c r="D66" i="8"/>
  <c r="N36" i="8"/>
  <c r="K62" i="8"/>
  <c r="P31" i="8"/>
  <c r="F57" i="8"/>
  <c r="Q22" i="8"/>
  <c r="D53" i="8"/>
  <c r="J17" i="8"/>
  <c r="N46" i="8"/>
  <c r="T12" i="8"/>
  <c r="R41" i="8"/>
  <c r="H67" i="8"/>
  <c r="D32" i="8"/>
  <c r="N59" i="8"/>
  <c r="J20" i="8"/>
  <c r="E6" i="8"/>
  <c r="R55" i="8"/>
  <c r="N39" i="8"/>
  <c r="F19" i="8"/>
  <c r="S61" i="8"/>
  <c r="S46" i="8"/>
  <c r="P24" i="8"/>
  <c r="D4" i="8"/>
  <c r="Q52" i="8"/>
  <c r="F35" i="8"/>
  <c r="D15" i="8"/>
  <c r="P38" i="8"/>
  <c r="J51" i="8"/>
  <c r="B61" i="8"/>
  <c r="M67" i="8"/>
  <c r="B12" i="8"/>
  <c r="J23" i="8"/>
  <c r="H12" i="8"/>
  <c r="F50" i="8"/>
  <c r="T8" i="8"/>
  <c r="R28" i="8"/>
  <c r="T62" i="8"/>
  <c r="G61" i="8"/>
  <c r="E63" i="8"/>
  <c r="T6" i="8"/>
  <c r="S26" i="8"/>
  <c r="Q25" i="8"/>
  <c r="T10" i="8"/>
  <c r="P36" i="8"/>
  <c r="D63" i="8"/>
  <c r="I30" i="8"/>
  <c r="R9" i="8"/>
  <c r="H43" i="8"/>
  <c r="P16" i="8"/>
  <c r="H48" i="8"/>
  <c r="B18" i="8"/>
  <c r="T34" i="8"/>
  <c r="O60" i="8"/>
  <c r="S32" i="8"/>
  <c r="B67" i="8"/>
  <c r="S37" i="8"/>
  <c r="J63" i="8"/>
  <c r="C33" i="8"/>
  <c r="G58" i="8"/>
  <c r="E24" i="8"/>
  <c r="D54" i="8"/>
  <c r="O18" i="8"/>
  <c r="Q47" i="8"/>
  <c r="J14" i="8"/>
  <c r="U42" i="8"/>
  <c r="J3" i="8"/>
  <c r="H33" i="8"/>
  <c r="N60" i="8"/>
  <c r="Q21" i="8"/>
  <c r="I12" i="8"/>
  <c r="S57" i="8"/>
  <c r="K44" i="8"/>
  <c r="B22" i="8"/>
  <c r="Q63" i="8"/>
  <c r="M48" i="8"/>
  <c r="S29" i="8"/>
  <c r="K7" i="8"/>
  <c r="O54" i="8"/>
  <c r="O37" i="8"/>
  <c r="N20" i="8"/>
  <c r="K43" i="8"/>
  <c r="R53" i="8"/>
  <c r="G64" i="8"/>
  <c r="Q5" i="8"/>
  <c r="S17" i="8"/>
  <c r="R32" i="8"/>
  <c r="P49" i="8"/>
  <c r="C63" i="8"/>
  <c r="L19" i="8"/>
  <c r="L38" i="8"/>
  <c r="N23" i="8"/>
  <c r="O67" i="8"/>
  <c r="F43" i="8"/>
  <c r="S4" i="8"/>
  <c r="K28" i="8"/>
  <c r="N26" i="8"/>
  <c r="R11" i="8"/>
  <c r="H38" i="8"/>
  <c r="T63" i="8"/>
  <c r="F31" i="8"/>
  <c r="B11" i="8"/>
  <c r="F46" i="8"/>
  <c r="Q17" i="8"/>
  <c r="F49" i="8"/>
  <c r="E19" i="8"/>
  <c r="U35" i="8"/>
  <c r="M61" i="8"/>
  <c r="R37" i="8"/>
  <c r="S67" i="8"/>
  <c r="B39" i="8"/>
  <c r="I64" i="8"/>
  <c r="F34" i="8"/>
  <c r="H59" i="8"/>
  <c r="J25" i="8"/>
  <c r="G56" i="8"/>
  <c r="E20" i="8"/>
  <c r="T48" i="8"/>
  <c r="U15" i="8"/>
  <c r="J45" i="8"/>
  <c r="E5" i="8"/>
  <c r="Q35" i="8"/>
  <c r="P61" i="8"/>
  <c r="D23" i="8"/>
  <c r="G15" i="8"/>
  <c r="Q59" i="8"/>
  <c r="D46" i="8"/>
  <c r="N24" i="8"/>
  <c r="R66" i="8"/>
  <c r="N50" i="8"/>
  <c r="U34" i="8"/>
  <c r="N10" i="8"/>
  <c r="N56" i="8"/>
  <c r="C40" i="8"/>
  <c r="U29" i="8"/>
  <c r="J47" i="8"/>
  <c r="N57" i="8"/>
  <c r="L67" i="8"/>
  <c r="T11" i="8"/>
  <c r="E23" i="8"/>
  <c r="D41" i="8"/>
  <c r="N7" i="8"/>
  <c r="S7" i="8"/>
  <c r="N28" i="8"/>
  <c r="B46" i="8"/>
  <c r="B63" i="8"/>
  <c r="B41" i="8"/>
  <c r="C15" i="8"/>
  <c r="S6" i="8"/>
  <c r="R13" i="8"/>
  <c r="K14" i="8"/>
  <c r="O40" i="8"/>
  <c r="U24" i="8"/>
  <c r="T51" i="8"/>
  <c r="R14" i="8"/>
  <c r="U40" i="8"/>
  <c r="I31" i="8"/>
  <c r="M58" i="8"/>
  <c r="M33" i="8"/>
  <c r="E4" i="8"/>
  <c r="G18" i="8"/>
  <c r="P47" i="8"/>
  <c r="P19" i="8"/>
  <c r="S51" i="8"/>
  <c r="N22" i="8"/>
  <c r="B55" i="8"/>
  <c r="P15" i="8"/>
  <c r="N47" i="8"/>
  <c r="P9" i="8"/>
  <c r="O41" i="8"/>
  <c r="G66" i="8"/>
  <c r="C38" i="8"/>
  <c r="N62" i="8"/>
  <c r="O30" i="8"/>
  <c r="K58" i="8"/>
  <c r="C23" i="8"/>
  <c r="E50" i="8"/>
  <c r="B7" i="8"/>
  <c r="F38" i="8"/>
  <c r="G41" i="8"/>
  <c r="D19" i="8"/>
  <c r="H63" i="8"/>
  <c r="L48" i="8"/>
  <c r="R29" i="8"/>
  <c r="B4" i="8"/>
  <c r="N54" i="8"/>
  <c r="B35" i="8"/>
  <c r="R16" i="8"/>
  <c r="Q60" i="8"/>
  <c r="M66" i="8"/>
  <c r="F15" i="8"/>
  <c r="R38" i="8"/>
  <c r="C48" i="8"/>
  <c r="T54" i="8"/>
  <c r="E62" i="8"/>
  <c r="S5" i="8"/>
  <c r="I23" i="8"/>
  <c r="S8" i="8"/>
  <c r="U45" i="8"/>
  <c r="G62" i="8"/>
  <c r="L66" i="8"/>
  <c r="O56" i="8"/>
  <c r="R7" i="8"/>
  <c r="D18" i="8"/>
  <c r="N13" i="8"/>
  <c r="P44" i="8"/>
  <c r="J18" i="8"/>
  <c r="H14" i="8"/>
  <c r="B56" i="8"/>
  <c r="K38" i="8"/>
  <c r="F20" i="8"/>
  <c r="S41" i="8"/>
  <c r="M22" i="8"/>
  <c r="B8" i="8"/>
  <c r="J46" i="8"/>
  <c r="B20" i="8"/>
  <c r="L62" i="8"/>
  <c r="N35" i="8"/>
  <c r="Q9" i="8"/>
  <c r="C51" i="8"/>
  <c r="L25" i="8"/>
  <c r="M60" i="8"/>
  <c r="L39" i="8"/>
  <c r="I67" i="8"/>
  <c r="Q40" i="8"/>
  <c r="F63" i="8"/>
  <c r="S55" i="8"/>
  <c r="L54" i="8"/>
  <c r="L52" i="8"/>
  <c r="T46" i="8"/>
  <c r="Q44" i="8"/>
  <c r="L42" i="8"/>
  <c r="P53" i="8"/>
  <c r="B31" i="8"/>
  <c r="P5" i="8"/>
  <c r="O43" i="8"/>
  <c r="P67" i="8"/>
  <c r="T17" i="8"/>
  <c r="H52" i="8"/>
  <c r="P59" i="8"/>
  <c r="B15" i="8"/>
  <c r="P14" i="8"/>
  <c r="C6" i="8"/>
  <c r="G34" i="8"/>
  <c r="D24" i="8"/>
  <c r="H30" i="8"/>
  <c r="N52" i="8"/>
  <c r="M55" i="8"/>
  <c r="G59" i="8"/>
  <c r="O47" i="8"/>
  <c r="N61" i="8"/>
  <c r="U47" i="8"/>
  <c r="E16" i="8"/>
  <c r="L10" i="8"/>
  <c r="U63" i="8"/>
  <c r="Q20" i="8"/>
  <c r="N67" i="8"/>
  <c r="E59" i="8"/>
  <c r="B57" i="8"/>
  <c r="R25" i="8"/>
  <c r="S9" i="8"/>
  <c r="J56" i="8"/>
  <c r="I61" i="8"/>
  <c r="Q26" i="8"/>
  <c r="F51" i="8"/>
  <c r="L24" i="8"/>
  <c r="J13" i="8"/>
  <c r="O65" i="8"/>
  <c r="P11" i="8"/>
  <c r="T5" i="8"/>
  <c r="T65" i="8"/>
  <c r="U11" i="8"/>
  <c r="M9" i="8"/>
  <c r="U18" i="8"/>
  <c r="L14" i="8"/>
  <c r="H50" i="8"/>
  <c r="G19" i="8"/>
  <c r="K15" i="8"/>
  <c r="S56" i="8"/>
  <c r="J42" i="8"/>
  <c r="R6" i="8"/>
  <c r="R42" i="8"/>
  <c r="R23" i="8"/>
  <c r="D11" i="8"/>
  <c r="U51" i="8"/>
  <c r="J21" i="8"/>
  <c r="J64" i="8"/>
  <c r="B38" i="8"/>
  <c r="S12" i="8"/>
  <c r="H56" i="8"/>
  <c r="C28" i="8"/>
  <c r="O62" i="8"/>
  <c r="T41" i="8"/>
  <c r="K3" i="8"/>
  <c r="U41" i="8"/>
  <c r="P66" i="8"/>
  <c r="S59" i="8"/>
  <c r="U55" i="8"/>
  <c r="L56" i="8"/>
  <c r="D49" i="8"/>
  <c r="U46" i="8"/>
  <c r="T44" i="8"/>
  <c r="C57" i="8"/>
  <c r="Q38" i="8"/>
  <c r="S11" i="8"/>
  <c r="D48" i="8"/>
  <c r="O8" i="8"/>
  <c r="N27" i="8"/>
  <c r="B59" i="8"/>
  <c r="B66" i="8"/>
  <c r="U56" i="8"/>
  <c r="O33" i="8"/>
  <c r="G21" i="8"/>
  <c r="L57" i="8"/>
  <c r="R8" i="8"/>
  <c r="C45" i="8"/>
  <c r="U37" i="8"/>
  <c r="K25" i="8"/>
  <c r="M11" i="8"/>
  <c r="Q23" i="8"/>
  <c r="S63" i="8"/>
  <c r="N5" i="8"/>
  <c r="T64" i="8"/>
  <c r="R60" i="8"/>
  <c r="O11" i="8"/>
  <c r="C35" i="8"/>
  <c r="M34" i="8"/>
  <c r="K53" i="8"/>
  <c r="E46" i="8"/>
  <c r="H11" i="8"/>
  <c r="M40" i="8"/>
  <c r="T28" i="8"/>
  <c r="I7" i="8"/>
  <c r="F30" i="8"/>
  <c r="P55" i="8"/>
  <c r="R56" i="8"/>
  <c r="J10" i="8"/>
  <c r="R19" i="8"/>
  <c r="J15" i="8"/>
  <c r="D51" i="8"/>
  <c r="D20" i="8"/>
  <c r="N16" i="8"/>
  <c r="P57" i="8"/>
  <c r="J43" i="8"/>
  <c r="H9" i="8"/>
  <c r="Q46" i="8"/>
  <c r="E25" i="8"/>
  <c r="D14" i="8"/>
  <c r="B54" i="8"/>
  <c r="P22" i="8"/>
  <c r="H65" i="8"/>
  <c r="K40" i="8"/>
  <c r="G14" i="8"/>
  <c r="I57" i="8"/>
  <c r="K29" i="8"/>
  <c r="M64" i="8"/>
  <c r="B43" i="8"/>
  <c r="F5" i="8"/>
  <c r="E43" i="8"/>
  <c r="L3" i="8"/>
  <c r="R61" i="8"/>
  <c r="U57" i="8"/>
  <c r="B60" i="8"/>
  <c r="O52" i="8"/>
  <c r="G49" i="8"/>
  <c r="I49" i="8"/>
  <c r="S60" i="8"/>
  <c r="L43" i="8"/>
  <c r="S16" i="8"/>
  <c r="M51" i="8"/>
  <c r="P13" i="8"/>
  <c r="G36" i="8"/>
  <c r="P65" i="8"/>
  <c r="D9" i="8"/>
  <c r="M20" i="8"/>
  <c r="F41" i="8"/>
  <c r="Q33" i="8"/>
  <c r="C17" i="8"/>
  <c r="H21" i="8"/>
  <c r="H8" i="8"/>
  <c r="H39" i="8"/>
  <c r="N17" i="8"/>
  <c r="I13" i="8"/>
  <c r="S66" i="8"/>
  <c r="Q58" i="8"/>
  <c r="N43" i="8"/>
  <c r="R52" i="8"/>
  <c r="C66" i="8"/>
  <c r="S22" i="8"/>
  <c r="L61" i="8"/>
  <c r="I32" i="8"/>
  <c r="H20" i="8"/>
  <c r="S23" i="8"/>
  <c r="E39" i="8"/>
  <c r="S48" i="8"/>
  <c r="L64" i="8"/>
  <c r="M14" i="8"/>
  <c r="C19" i="8"/>
  <c r="F16" i="8"/>
  <c r="T66" i="8"/>
  <c r="F62" i="8"/>
  <c r="L51" i="8"/>
  <c r="N33" i="8"/>
  <c r="F48" i="8"/>
  <c r="O14" i="8"/>
  <c r="L21" i="8"/>
  <c r="H16" i="8"/>
  <c r="L53" i="8"/>
  <c r="U20" i="8"/>
  <c r="P17" i="8"/>
  <c r="U61" i="8"/>
  <c r="I44" i="8"/>
  <c r="Q13" i="8"/>
  <c r="N49" i="8"/>
  <c r="U28" i="8"/>
  <c r="N15" i="8"/>
  <c r="E56" i="8"/>
  <c r="I25" i="8"/>
  <c r="F66" i="8"/>
  <c r="C44" i="8"/>
  <c r="S15" i="8"/>
  <c r="J58" i="8"/>
  <c r="B32" i="8"/>
  <c r="K65" i="8"/>
  <c r="G44" i="8"/>
  <c r="N8" i="8"/>
  <c r="J44" i="8"/>
  <c r="E7" i="8"/>
  <c r="C65" i="8"/>
  <c r="U59" i="8"/>
  <c r="T61" i="8"/>
  <c r="M56" i="8"/>
  <c r="P50" i="8"/>
  <c r="S52" i="8"/>
  <c r="J5" i="8"/>
  <c r="K47" i="8"/>
  <c r="C21" i="8"/>
  <c r="P58" i="8"/>
  <c r="F18" i="8"/>
  <c r="N45" i="8"/>
  <c r="M28" i="8"/>
  <c r="L20" i="8"/>
  <c r="N38" i="8"/>
  <c r="U62" i="8"/>
  <c r="K4" i="8"/>
  <c r="C18" i="8"/>
  <c r="H28" i="8"/>
  <c r="M21" i="8"/>
  <c r="D55" i="8"/>
  <c r="C32" i="8"/>
  <c r="U22" i="8"/>
  <c r="O63" i="8"/>
  <c r="T50" i="8"/>
  <c r="U14" i="8"/>
  <c r="S53" i="8"/>
  <c r="U38" i="8"/>
  <c r="L18" i="8"/>
  <c r="E57" i="8"/>
  <c r="M35" i="8"/>
  <c r="E67" i="8"/>
  <c r="F45" i="8"/>
  <c r="R22" i="8"/>
  <c r="L59" i="8"/>
  <c r="B37" i="8"/>
  <c r="U6" i="8"/>
  <c r="M45" i="8"/>
  <c r="N11" i="8"/>
  <c r="I18" i="8"/>
  <c r="F10" i="8"/>
  <c r="Q66" i="8"/>
  <c r="R3" i="8"/>
  <c r="R63" i="8"/>
  <c r="C58" i="8"/>
  <c r="D60" i="8"/>
  <c r="R54" i="8"/>
  <c r="O10" i="8"/>
  <c r="U60" i="8"/>
  <c r="D31" i="8"/>
  <c r="F61" i="8"/>
  <c r="P45" i="8"/>
  <c r="R51" i="8"/>
  <c r="S45" i="8"/>
  <c r="N53" i="8"/>
  <c r="B47" i="8"/>
  <c r="P33" i="8"/>
  <c r="G5" i="8"/>
  <c r="O19" i="8"/>
  <c r="K33" i="8"/>
  <c r="G23" i="8"/>
  <c r="P56" i="8"/>
  <c r="T32" i="8"/>
  <c r="E28" i="8"/>
  <c r="N3" i="8"/>
  <c r="Q51" i="8"/>
  <c r="B16" i="8"/>
  <c r="P54" i="8"/>
  <c r="R43" i="8"/>
  <c r="U19" i="8"/>
  <c r="F58" i="8"/>
  <c r="Q36" i="8"/>
  <c r="M6" i="8"/>
  <c r="L46" i="8"/>
  <c r="F24" i="8"/>
  <c r="L60" i="8"/>
  <c r="D38" i="8"/>
  <c r="M8" i="8"/>
  <c r="P46" i="8"/>
  <c r="D16" i="8"/>
  <c r="D21" i="8"/>
  <c r="E13" i="8"/>
  <c r="F7" i="8"/>
  <c r="H7" i="8"/>
  <c r="E65" i="8"/>
  <c r="C60" i="8"/>
  <c r="D62" i="8"/>
  <c r="Q56" i="8"/>
  <c r="E15" i="8"/>
  <c r="J67" i="8"/>
  <c r="B40" i="8"/>
  <c r="Q64" i="8"/>
  <c r="K49" i="8"/>
  <c r="T58" i="8"/>
  <c r="H53" i="8"/>
  <c r="E60" i="8"/>
  <c r="O53" i="8"/>
  <c r="K42" i="8"/>
  <c r="S14" i="8"/>
  <c r="K32" i="8"/>
  <c r="S39" i="8"/>
  <c r="R31" i="8"/>
  <c r="I5" i="8"/>
  <c r="E40" i="8"/>
  <c r="K35" i="8"/>
  <c r="T20" i="8"/>
  <c r="E61" i="8"/>
  <c r="K23" i="8"/>
  <c r="R65" i="8"/>
  <c r="Q49" i="8"/>
  <c r="B33" i="8"/>
  <c r="G8" i="8"/>
  <c r="E45" i="8"/>
  <c r="I17" i="8"/>
  <c r="K60" i="8"/>
  <c r="S36" i="8"/>
  <c r="D5" i="8"/>
  <c r="E51" i="8"/>
  <c r="P21" i="8"/>
  <c r="J54" i="8"/>
  <c r="G28" i="8"/>
  <c r="T38" i="8"/>
  <c r="F32" i="8"/>
  <c r="R34" i="8"/>
  <c r="G27" i="8"/>
  <c r="J19" i="8"/>
  <c r="K19" i="8"/>
  <c r="S13" i="8"/>
  <c r="J4" i="8"/>
  <c r="M57" i="8"/>
  <c r="C31" i="8"/>
  <c r="C61" i="8"/>
  <c r="B45" i="8"/>
  <c r="S65" i="8"/>
  <c r="R33" i="8"/>
  <c r="I53" i="8"/>
  <c r="N55" i="8"/>
  <c r="R40" i="8"/>
  <c r="S33" i="8"/>
  <c r="G17" i="8"/>
  <c r="G33" i="8"/>
  <c r="G42" i="8"/>
  <c r="D35" i="8"/>
  <c r="G10" i="8"/>
  <c r="Q41" i="8"/>
  <c r="I40" i="8"/>
  <c r="F26" i="8"/>
  <c r="O6" i="8"/>
  <c r="M24" i="8"/>
  <c r="M4" i="8"/>
  <c r="E58" i="8"/>
  <c r="J35" i="8"/>
  <c r="O9" i="8"/>
  <c r="R48" i="8"/>
  <c r="K21" i="8"/>
  <c r="K61" i="8"/>
  <c r="G39" i="8"/>
  <c r="P6" i="8"/>
  <c r="F52" i="8"/>
  <c r="H24" i="8"/>
  <c r="K56" i="8"/>
  <c r="N29" i="8"/>
  <c r="P43" i="8"/>
  <c r="Q34" i="8"/>
  <c r="F37" i="8"/>
  <c r="H32" i="8"/>
  <c r="E22" i="8"/>
  <c r="Q24" i="8"/>
  <c r="M19" i="8"/>
  <c r="J9" i="8"/>
  <c r="T60" i="8"/>
  <c r="M43" i="8"/>
  <c r="O64" i="8"/>
  <c r="I48" i="8"/>
  <c r="R17" i="8"/>
  <c r="N42" i="8"/>
  <c r="O59" i="8"/>
  <c r="P32" i="8"/>
  <c r="K55" i="8"/>
  <c r="G50" i="8"/>
  <c r="O5" i="8"/>
  <c r="T3" i="8"/>
  <c r="S43" i="8"/>
  <c r="C39" i="8"/>
  <c r="M38" i="8"/>
  <c r="J31" i="8"/>
  <c r="F6" i="8"/>
  <c r="G65" i="8"/>
  <c r="D33" i="8"/>
  <c r="K17" i="8"/>
  <c r="G52" i="8"/>
  <c r="I52" i="8"/>
  <c r="S34" i="8"/>
  <c r="U66" i="8"/>
  <c r="Q10" i="8"/>
  <c r="O51" i="8"/>
  <c r="P37" i="8"/>
  <c r="E41" i="8"/>
  <c r="Q42" i="8"/>
  <c r="O57" i="8"/>
  <c r="I21" i="8"/>
  <c r="R30" i="8"/>
  <c r="J49" i="8"/>
  <c r="R5" i="8"/>
  <c r="S50" i="8"/>
  <c r="I62" i="8"/>
  <c r="O35" i="8"/>
  <c r="P29" i="8"/>
  <c r="G43" i="8"/>
  <c r="R57" i="8"/>
  <c r="O55" i="8"/>
  <c r="T13" i="8"/>
  <c r="G38" i="8"/>
  <c r="J30" i="8"/>
  <c r="D64" i="8"/>
  <c r="G67" i="8"/>
  <c r="P30" i="8"/>
  <c r="O24" i="8"/>
  <c r="T40" i="8"/>
  <c r="K45" i="8"/>
  <c r="I39" i="8"/>
  <c r="L34" i="8"/>
  <c r="T16" i="8"/>
  <c r="L6" i="8"/>
  <c r="I34" i="8"/>
  <c r="R18" i="8"/>
  <c r="G53" i="8"/>
  <c r="T53" i="8"/>
  <c r="G37" i="8"/>
  <c r="Q7" i="8"/>
  <c r="R20" i="8"/>
  <c r="L55" i="8"/>
  <c r="T45" i="8"/>
  <c r="Q55" i="8"/>
  <c r="T15" i="8"/>
  <c r="I55" i="8"/>
  <c r="K67" i="8"/>
  <c r="H49" i="8"/>
  <c r="C8" i="8"/>
  <c r="G47" i="8"/>
  <c r="C53" i="8"/>
  <c r="J57" i="8"/>
  <c r="E42" i="8"/>
  <c r="S54" i="8"/>
  <c r="E32" i="8"/>
  <c r="J65" i="8"/>
  <c r="M17" i="8"/>
  <c r="S31" i="8"/>
  <c r="J48" i="8"/>
  <c r="L5" i="8"/>
  <c r="O45" i="8"/>
  <c r="C47" i="8"/>
  <c r="I47" i="8"/>
  <c r="T56" i="8"/>
  <c r="K18" i="8"/>
  <c r="F11" i="8"/>
  <c r="I58" i="8"/>
  <c r="G20" i="8"/>
  <c r="P62" i="8"/>
  <c r="C27" i="8"/>
  <c r="P39" i="8"/>
  <c r="H22" i="8"/>
  <c r="Q16" i="8"/>
  <c r="S58" i="8"/>
  <c r="U65" i="8"/>
  <c r="P23" i="8"/>
  <c r="K6" i="8"/>
  <c r="H42" i="8"/>
  <c r="K34" i="8"/>
  <c r="F60" i="8"/>
  <c r="F67" i="8"/>
  <c r="B27" i="8"/>
  <c r="K54" i="8"/>
  <c r="Q39" i="8"/>
  <c r="D36" i="8"/>
  <c r="D43" i="8"/>
  <c r="H61" i="8"/>
  <c r="B28" i="8"/>
  <c r="D27" i="8"/>
  <c r="O38" i="8"/>
  <c r="S44" i="8"/>
  <c r="T43" i="8"/>
  <c r="K22" i="8"/>
  <c r="C54" i="8"/>
  <c r="M59" i="8"/>
  <c r="N44" i="8"/>
  <c r="R58" i="8"/>
  <c r="I29" i="8"/>
  <c r="D45" i="8"/>
  <c r="U39" i="8"/>
  <c r="U13" i="8"/>
  <c r="S47" i="8"/>
  <c r="T4" i="8"/>
  <c r="H60" i="8"/>
  <c r="E21" i="8"/>
  <c r="Q12" i="8"/>
  <c r="I59" i="8"/>
  <c r="O21" i="8"/>
  <c r="P63" i="8"/>
  <c r="O29" i="8"/>
  <c r="M44" i="8"/>
  <c r="S24" i="8"/>
  <c r="B21" i="8"/>
  <c r="S64" i="8"/>
  <c r="U8" i="8"/>
  <c r="B25" i="8"/>
  <c r="D30" i="8"/>
  <c r="G6" i="8"/>
  <c r="U7" i="8"/>
  <c r="L47" i="8"/>
  <c r="E14" i="8"/>
  <c r="L63" i="8"/>
  <c r="B49" i="8"/>
  <c r="N64" i="8"/>
  <c r="K48" i="8"/>
  <c r="K13" i="8"/>
  <c r="M27" i="8"/>
  <c r="B48" i="8"/>
  <c r="C59" i="8"/>
  <c r="P28" i="8"/>
  <c r="G13" i="8"/>
  <c r="U30" i="8"/>
  <c r="L7" i="8"/>
  <c r="E9" i="8"/>
  <c r="N48" i="8"/>
  <c r="M18" i="8"/>
  <c r="K64" i="8"/>
  <c r="D50" i="8"/>
  <c r="M65" i="8"/>
  <c r="L50" i="8"/>
  <c r="L16" i="8"/>
  <c r="E30" i="8"/>
  <c r="K51" i="8"/>
  <c r="S62" i="8"/>
  <c r="M53" i="8"/>
  <c r="C14" i="8"/>
  <c r="L41" i="8"/>
  <c r="J33" i="8"/>
  <c r="H10" i="8"/>
  <c r="F59" i="8"/>
  <c r="N41" i="8"/>
  <c r="I65" i="8"/>
  <c r="F53" i="8"/>
  <c r="J24" i="8"/>
  <c r="J52" i="8"/>
  <c r="H37" i="8"/>
  <c r="C64" i="8"/>
  <c r="Q54" i="8"/>
  <c r="H26" i="8"/>
  <c r="H23" i="8"/>
  <c r="C30" i="8"/>
  <c r="P64" i="8"/>
  <c r="G54" i="8"/>
  <c r="T36" i="8"/>
  <c r="B29" i="8"/>
  <c r="C55" i="8"/>
  <c r="L40" i="8"/>
  <c r="C16" i="8"/>
  <c r="R35" i="8"/>
  <c r="O39" i="8"/>
  <c r="L13" i="8"/>
  <c r="F47" i="8"/>
  <c r="O17" i="8"/>
  <c r="M49" i="8"/>
  <c r="Q62" i="8"/>
  <c r="S30" i="8"/>
  <c r="G4" i="8"/>
  <c r="E55" i="8"/>
  <c r="T37" i="8"/>
  <c r="K30" i="8"/>
  <c r="F56" i="8"/>
  <c r="P41" i="8"/>
  <c r="T18" i="8"/>
  <c r="M39" i="8"/>
  <c r="C42" i="8"/>
  <c r="M16" i="8"/>
  <c r="I50" i="8"/>
  <c r="G22" i="8"/>
  <c r="T14" i="8"/>
  <c r="M23" i="8"/>
  <c r="O12" i="8"/>
  <c r="C12" i="8"/>
  <c r="Q18" i="8"/>
  <c r="S38" i="8"/>
  <c r="M41" i="8"/>
  <c r="R12" i="8"/>
  <c r="T42" i="8"/>
  <c r="N25" i="8"/>
  <c r="C34" i="8"/>
  <c r="L44" i="8"/>
  <c r="I27" i="8"/>
  <c r="G51" i="8"/>
  <c r="E31" i="8"/>
  <c r="U17" i="8"/>
  <c r="L22" i="8"/>
  <c r="M13" i="8"/>
  <c r="B13" i="8"/>
  <c r="T19" i="8"/>
  <c r="R39" i="8"/>
  <c r="P42" i="8"/>
  <c r="F14" i="8"/>
  <c r="I45" i="8"/>
  <c r="D28" i="8"/>
  <c r="L36" i="8"/>
  <c r="K52" i="8"/>
  <c r="T29" i="8"/>
  <c r="Q53" i="8"/>
  <c r="D40" i="8"/>
  <c r="J28" i="8"/>
  <c r="G31" i="8"/>
  <c r="E17" i="8"/>
  <c r="G63" i="8"/>
  <c r="U43" i="8"/>
  <c r="P26" i="8"/>
  <c r="M29" i="8"/>
  <c r="C46" i="8"/>
  <c r="I19" i="8"/>
  <c r="M32" i="8"/>
  <c r="N66" i="8"/>
  <c r="H31" i="8"/>
  <c r="H36" i="8"/>
  <c r="C41" i="8"/>
  <c r="AG32" i="4"/>
  <c r="AG16" i="4"/>
  <c r="AG12" i="4"/>
  <c r="AG40" i="4"/>
  <c r="AG10" i="4"/>
  <c r="AG17" i="4"/>
  <c r="AG5" i="4"/>
  <c r="AG15" i="4"/>
  <c r="AG11" i="4"/>
  <c r="AG14" i="4"/>
  <c r="AG26" i="4"/>
  <c r="AG31" i="4"/>
  <c r="AG41" i="4"/>
  <c r="AG7" i="4"/>
  <c r="AG37" i="4"/>
  <c r="AG4" i="4"/>
  <c r="AG6" i="4"/>
  <c r="AG9" i="4"/>
  <c r="AG25" i="4"/>
  <c r="AG20" i="4"/>
  <c r="AG35" i="4"/>
  <c r="AG22" i="4"/>
  <c r="AG27" i="4"/>
  <c r="AG36" i="4"/>
  <c r="AG24" i="4"/>
  <c r="AG19" i="4"/>
  <c r="AG28" i="4"/>
  <c r="AG29" i="4"/>
  <c r="AG39" i="4"/>
  <c r="AG23" i="4"/>
  <c r="AG8" i="4"/>
  <c r="AG34" i="4"/>
  <c r="AI22" i="4"/>
  <c r="AI6" i="4"/>
  <c r="AH9" i="4"/>
  <c r="AH31" i="4"/>
  <c r="AI20" i="4"/>
  <c r="AH5" i="4"/>
  <c r="AH26" i="4"/>
  <c r="AH10" i="4"/>
  <c r="AI13" i="4"/>
  <c r="AH27" i="4"/>
  <c r="AI24" i="4"/>
  <c r="AI28" i="4"/>
  <c r="AH25" i="4"/>
  <c r="AI30" i="4"/>
  <c r="AI31" i="4"/>
  <c r="AH29" i="4"/>
  <c r="AI7" i="4"/>
  <c r="AH8" i="4"/>
  <c r="AI16" i="4"/>
  <c r="AH4" i="4"/>
  <c r="AI21" i="4"/>
  <c r="AH21" i="4"/>
  <c r="AH13" i="4"/>
  <c r="AI3" i="4"/>
  <c r="AI2" i="4"/>
  <c r="AH9" i="8"/>
  <c r="J21" i="4"/>
  <c r="AH59" i="8"/>
  <c r="AH8" i="8"/>
  <c r="O49" i="4"/>
  <c r="AH66" i="8"/>
  <c r="AH44" i="8"/>
  <c r="AH38" i="8"/>
  <c r="AH45" i="8"/>
  <c r="AH40" i="8"/>
  <c r="AH26" i="8"/>
  <c r="AH48" i="8"/>
  <c r="M49" i="4"/>
  <c r="O45" i="4"/>
  <c r="AH61" i="8"/>
  <c r="AH37" i="8"/>
  <c r="AH31" i="8"/>
  <c r="J47" i="4"/>
  <c r="AH55" i="8"/>
  <c r="AH63" i="8"/>
  <c r="AH34" i="8"/>
  <c r="AH50" i="8"/>
  <c r="AH41" i="8"/>
  <c r="AH52" i="8"/>
  <c r="AH19" i="8"/>
  <c r="O43" i="4"/>
  <c r="J35" i="4"/>
  <c r="AH18" i="8"/>
  <c r="AH39" i="8"/>
  <c r="AH6" i="8"/>
  <c r="AH35" i="8"/>
  <c r="AH13" i="8"/>
  <c r="AH47" i="8"/>
  <c r="O50" i="4"/>
  <c r="AH32" i="8"/>
  <c r="AH10" i="8"/>
  <c r="AH25" i="8"/>
  <c r="AH5" i="8"/>
  <c r="AH21" i="8"/>
  <c r="AH30" i="8"/>
  <c r="AH65" i="8"/>
  <c r="O48" i="4"/>
  <c r="AH64" i="8"/>
  <c r="AH29" i="8"/>
  <c r="AH49" i="8"/>
  <c r="M50" i="4"/>
  <c r="AH28" i="8"/>
  <c r="AH24" i="8"/>
  <c r="AH16" i="8"/>
  <c r="AH11" i="8"/>
  <c r="AH62" i="8"/>
  <c r="AH67" i="8"/>
  <c r="O42" i="4"/>
  <c r="AH20" i="8"/>
  <c r="AH27" i="8"/>
  <c r="AH42" i="8"/>
  <c r="AH17" i="8"/>
  <c r="AH58" i="8"/>
  <c r="AH14" i="8"/>
  <c r="AH54" i="8"/>
  <c r="AH43" i="8"/>
  <c r="AH51" i="8"/>
  <c r="AH53" i="8"/>
  <c r="AH60" i="8"/>
  <c r="J46" i="4"/>
  <c r="J20" i="4"/>
  <c r="AH56" i="8"/>
  <c r="F1" i="8"/>
  <c r="AH4" i="8"/>
  <c r="AH46" i="8"/>
  <c r="AH23" i="8"/>
  <c r="AH33" i="8"/>
  <c r="AH36" i="8"/>
  <c r="AH15" i="8"/>
  <c r="AH57" i="8"/>
  <c r="AH12" i="8"/>
  <c r="AH22" i="8"/>
  <c r="AH7" i="8"/>
  <c r="O44" i="4"/>
  <c r="AJ14" i="4" l="1"/>
  <c r="AK14" i="4"/>
  <c r="AJ32" i="4"/>
  <c r="AK32" i="4"/>
  <c r="AJ13" i="4"/>
  <c r="S13" i="4" s="1"/>
  <c r="AK13" i="4"/>
  <c r="T13" i="4" s="1"/>
  <c r="AJ36" i="4"/>
  <c r="AK36" i="4"/>
  <c r="AK39" i="4"/>
  <c r="AJ39" i="4"/>
  <c r="AK31" i="4"/>
  <c r="T31" i="4" s="1"/>
  <c r="AJ31" i="4"/>
  <c r="S31" i="4" s="1"/>
  <c r="AK9" i="4"/>
  <c r="AJ9" i="4"/>
  <c r="S9" i="4" s="1"/>
  <c r="AJ16" i="4"/>
  <c r="AK16" i="4"/>
  <c r="T16" i="4" s="1"/>
  <c r="AK26" i="4"/>
  <c r="AJ26" i="4"/>
  <c r="S26" i="4" s="1"/>
  <c r="AJ15" i="4"/>
  <c r="AK15" i="4"/>
  <c r="AJ24" i="4"/>
  <c r="AK24" i="4"/>
  <c r="T24" i="4" s="1"/>
  <c r="AJ6" i="4"/>
  <c r="AK6" i="4"/>
  <c r="T6" i="4" s="1"/>
  <c r="AJ33" i="4"/>
  <c r="AK33" i="4"/>
  <c r="AK27" i="4"/>
  <c r="AJ27" i="4"/>
  <c r="S27" i="4" s="1"/>
  <c r="AK34" i="4"/>
  <c r="AJ34" i="4"/>
  <c r="AK37" i="4"/>
  <c r="AJ37" i="4"/>
  <c r="AK22" i="4"/>
  <c r="T22" i="4" s="1"/>
  <c r="AJ22" i="4"/>
  <c r="AK12" i="4"/>
  <c r="AJ12" i="4"/>
  <c r="AJ8" i="4"/>
  <c r="S8" i="4" s="1"/>
  <c r="AK8" i="4"/>
  <c r="AJ35" i="4"/>
  <c r="AK35" i="4"/>
  <c r="AJ3" i="4"/>
  <c r="AK3" i="4"/>
  <c r="T3" i="4" s="1"/>
  <c r="AK23" i="4"/>
  <c r="AJ23" i="4"/>
  <c r="AK41" i="4"/>
  <c r="AJ41" i="4"/>
  <c r="AJ5" i="4"/>
  <c r="S5" i="4" s="1"/>
  <c r="AK5" i="4"/>
  <c r="AJ29" i="4"/>
  <c r="S29" i="4" s="1"/>
  <c r="AK29" i="4"/>
  <c r="AJ21" i="4"/>
  <c r="AK21" i="4"/>
  <c r="AJ7" i="4"/>
  <c r="AK7" i="4"/>
  <c r="T7" i="4" s="1"/>
  <c r="AK17" i="4"/>
  <c r="AJ17" i="4"/>
  <c r="AJ18" i="4"/>
  <c r="AK18" i="4"/>
  <c r="AJ28" i="4"/>
  <c r="AK28" i="4"/>
  <c r="T28" i="4" s="1"/>
  <c r="AK20" i="4"/>
  <c r="T20" i="4" s="1"/>
  <c r="AJ20" i="4"/>
  <c r="AK38" i="4"/>
  <c r="AJ38" i="4"/>
  <c r="AJ4" i="4"/>
  <c r="S4" i="4" s="1"/>
  <c r="AK4" i="4"/>
  <c r="AJ2" i="4"/>
  <c r="AK2" i="4"/>
  <c r="T2" i="4" s="1"/>
  <c r="AK10" i="4"/>
  <c r="AJ10" i="4"/>
  <c r="S10" i="4" s="1"/>
  <c r="AK19" i="4"/>
  <c r="AJ19" i="4"/>
  <c r="AJ25" i="4"/>
  <c r="S25" i="4" s="1"/>
  <c r="AK25" i="4"/>
  <c r="AK11" i="4"/>
  <c r="AJ11" i="4"/>
  <c r="AJ40" i="4"/>
  <c r="AK40" i="4"/>
  <c r="AJ30" i="4"/>
  <c r="AK30" i="4"/>
  <c r="T30" i="4" s="1"/>
  <c r="AI10" i="4"/>
  <c r="AI9" i="4"/>
  <c r="AH35" i="4"/>
  <c r="AI18" i="4"/>
  <c r="AH33" i="4"/>
  <c r="AI23" i="4"/>
  <c r="AH15" i="4"/>
  <c r="AI8" i="4"/>
  <c r="AH18" i="4"/>
  <c r="AI11" i="4"/>
  <c r="AH6" i="4"/>
  <c r="AH16" i="4"/>
  <c r="AI17" i="4"/>
  <c r="AH20" i="4"/>
  <c r="AI29" i="4"/>
  <c r="AI35" i="4"/>
  <c r="AI32" i="4"/>
  <c r="AI12" i="4"/>
  <c r="AH17" i="4"/>
  <c r="AH19" i="4"/>
  <c r="AI14" i="4"/>
  <c r="AH24" i="4"/>
  <c r="AH34" i="4"/>
  <c r="AI19" i="4"/>
  <c r="AH12" i="4"/>
  <c r="AI41" i="4"/>
  <c r="AI40" i="4"/>
  <c r="AH7" i="4"/>
  <c r="AH32" i="4"/>
  <c r="AH41" i="4"/>
  <c r="AI25" i="4"/>
  <c r="AH40" i="4"/>
  <c r="AI26" i="4"/>
  <c r="AI34" i="4"/>
  <c r="AI33" i="4"/>
  <c r="AH28" i="4"/>
  <c r="AH11" i="4"/>
  <c r="AI15" i="4"/>
  <c r="AH37" i="4"/>
  <c r="AH39" i="4"/>
  <c r="AH30" i="4"/>
  <c r="AI37" i="4"/>
  <c r="AI27" i="4"/>
  <c r="AH23" i="4"/>
  <c r="AH38" i="4"/>
  <c r="AI5" i="4"/>
  <c r="AI36" i="4"/>
  <c r="AI38" i="4"/>
  <c r="AH22" i="4"/>
  <c r="AH36" i="4"/>
  <c r="AI4" i="4"/>
  <c r="AI39" i="4"/>
  <c r="AH14" i="4"/>
  <c r="AH3" i="4"/>
  <c r="AH2" i="4"/>
  <c r="O5" i="4"/>
  <c r="J44" i="4"/>
  <c r="O22" i="4"/>
  <c r="O34" i="4"/>
  <c r="O23" i="4"/>
  <c r="O13" i="4"/>
  <c r="O26" i="4"/>
  <c r="O28" i="4"/>
  <c r="O18" i="4"/>
  <c r="O14" i="4"/>
  <c r="O9" i="4"/>
  <c r="J50" i="4"/>
  <c r="O32" i="4"/>
  <c r="O3" i="4"/>
  <c r="O38" i="4"/>
  <c r="O40" i="4"/>
  <c r="O19" i="4"/>
  <c r="O17" i="4"/>
  <c r="O7" i="4"/>
  <c r="O35" i="4"/>
  <c r="O16" i="4"/>
  <c r="J49" i="4"/>
  <c r="O39" i="4"/>
  <c r="O27" i="4"/>
  <c r="O15" i="4"/>
  <c r="O4" i="4"/>
  <c r="O37" i="4"/>
  <c r="O8" i="4"/>
  <c r="J42" i="4"/>
  <c r="O36" i="4"/>
  <c r="J45" i="4"/>
  <c r="J43" i="4"/>
  <c r="J48" i="4"/>
  <c r="O30" i="4"/>
  <c r="O29" i="4"/>
  <c r="O11" i="4"/>
  <c r="O41" i="4"/>
  <c r="O31" i="4"/>
  <c r="O24" i="4"/>
  <c r="O2" i="4"/>
  <c r="O6" i="4"/>
  <c r="O12" i="4"/>
  <c r="O33" i="4"/>
  <c r="O10" i="4"/>
  <c r="O25" i="4"/>
  <c r="T10" i="4" l="1"/>
  <c r="S7" i="4"/>
  <c r="S20" i="4"/>
  <c r="T25" i="4"/>
  <c r="T26" i="4"/>
  <c r="S3" i="4"/>
  <c r="S28" i="4"/>
  <c r="S6" i="4"/>
  <c r="S30" i="4"/>
  <c r="S16" i="4"/>
  <c r="T4" i="4"/>
  <c r="S24" i="4"/>
  <c r="T27" i="4"/>
  <c r="T8" i="4"/>
  <c r="T5" i="4"/>
  <c r="S22" i="4"/>
  <c r="T9" i="4"/>
  <c r="S2" i="4"/>
  <c r="T29" i="4"/>
  <c r="S39" i="4"/>
  <c r="T36" i="4"/>
  <c r="S19" i="4"/>
  <c r="S35" i="4"/>
  <c r="T41" i="4"/>
  <c r="S12" i="4"/>
  <c r="T14" i="4"/>
  <c r="S17" i="4"/>
  <c r="S41" i="4"/>
  <c r="T12" i="4"/>
  <c r="S33" i="4"/>
  <c r="T17" i="4"/>
  <c r="T40" i="4"/>
  <c r="S37" i="4"/>
  <c r="T11" i="4"/>
  <c r="S18" i="4"/>
  <c r="T15" i="4"/>
  <c r="T38" i="4"/>
  <c r="S38" i="4"/>
  <c r="T37" i="4"/>
  <c r="S11" i="4"/>
  <c r="S15" i="4"/>
  <c r="T33" i="4"/>
  <c r="S40" i="4"/>
  <c r="S32" i="4"/>
  <c r="T32" i="4"/>
  <c r="T18" i="4"/>
  <c r="S14" i="4"/>
  <c r="T39" i="4"/>
  <c r="T19" i="4"/>
  <c r="S23" i="4"/>
  <c r="S36" i="4"/>
  <c r="S34" i="4"/>
  <c r="T23" i="4"/>
  <c r="T34" i="4"/>
  <c r="T35" i="4"/>
  <c r="J33" i="4"/>
  <c r="J10" i="4"/>
  <c r="J7" i="4"/>
  <c r="J5" i="4"/>
  <c r="J14" i="4"/>
  <c r="J41" i="4"/>
  <c r="J8" i="4"/>
  <c r="J16" i="4"/>
  <c r="J39" i="4"/>
  <c r="J15" i="4"/>
  <c r="J17" i="4"/>
  <c r="J3" i="4"/>
  <c r="J26" i="4"/>
  <c r="J38" i="4"/>
  <c r="J27" i="4"/>
  <c r="J13" i="4"/>
  <c r="J2" i="4"/>
  <c r="J30" i="4"/>
  <c r="J37" i="4"/>
  <c r="J36" i="4"/>
  <c r="J28" i="4"/>
  <c r="J25" i="4"/>
  <c r="J34" i="4"/>
  <c r="J18" i="4"/>
  <c r="J6" i="4"/>
  <c r="J12" i="4"/>
  <c r="J24" i="4"/>
  <c r="J23" i="4"/>
  <c r="J19" i="4"/>
  <c r="J9" i="4"/>
  <c r="J4" i="4"/>
  <c r="J11" i="4"/>
  <c r="J32" i="4"/>
  <c r="J31" i="4"/>
  <c r="J40" i="4"/>
  <c r="J22" i="4"/>
  <c r="C20" i="9"/>
  <c r="J29" i="4"/>
  <c r="U1" i="4"/>
  <c r="B23" i="6"/>
  <c r="B2" i="8" s="1"/>
  <c r="S42" i="7" l="1"/>
  <c r="S62" i="7"/>
  <c r="S57" i="7"/>
  <c r="S77" i="7"/>
  <c r="S65" i="7"/>
  <c r="S16" i="7"/>
  <c r="S127" i="7"/>
  <c r="S8" i="7"/>
  <c r="S138" i="7"/>
  <c r="S79" i="7"/>
  <c r="S74" i="7"/>
  <c r="S71" i="7"/>
  <c r="S24" i="7"/>
  <c r="S70" i="7"/>
  <c r="S142" i="7"/>
  <c r="S88" i="7"/>
  <c r="S26" i="7"/>
  <c r="S102" i="7"/>
  <c r="S96" i="7"/>
  <c r="S131" i="7"/>
  <c r="S145" i="7"/>
  <c r="S126" i="7"/>
  <c r="S61" i="7"/>
  <c r="S100" i="7"/>
  <c r="S117" i="7"/>
  <c r="S114" i="7"/>
  <c r="S49" i="7"/>
  <c r="S113" i="7"/>
  <c r="S59" i="7"/>
  <c r="S72" i="7"/>
  <c r="S106" i="7"/>
  <c r="S136" i="7"/>
  <c r="S118" i="7"/>
  <c r="S92" i="7"/>
  <c r="S39" i="7"/>
  <c r="S75" i="7"/>
  <c r="S144" i="7"/>
  <c r="S101" i="7"/>
  <c r="S60" i="7"/>
  <c r="S104" i="7"/>
  <c r="S19" i="7"/>
  <c r="S98" i="7"/>
  <c r="S103" i="7"/>
  <c r="S58" i="7"/>
  <c r="S109" i="7"/>
  <c r="S50" i="7"/>
  <c r="S139" i="7"/>
  <c r="S52" i="7"/>
  <c r="S134" i="7"/>
  <c r="S73" i="7"/>
  <c r="S150" i="7"/>
  <c r="S78" i="7"/>
  <c r="S21" i="7"/>
  <c r="S12" i="7"/>
  <c r="S85" i="7"/>
  <c r="S81" i="7"/>
  <c r="S7" i="7"/>
  <c r="S143" i="7"/>
  <c r="S116" i="7"/>
  <c r="S4" i="7"/>
  <c r="S87" i="7"/>
  <c r="S64" i="7"/>
  <c r="S36" i="7"/>
  <c r="S22" i="7"/>
  <c r="S122" i="7"/>
  <c r="S69" i="7"/>
  <c r="S80" i="7"/>
  <c r="S130" i="7"/>
  <c r="S125" i="7"/>
  <c r="S43" i="7"/>
  <c r="S14" i="7"/>
  <c r="S51" i="7"/>
  <c r="S89" i="7"/>
  <c r="S129" i="7"/>
  <c r="S146" i="7"/>
  <c r="S110" i="7"/>
  <c r="S13" i="7"/>
  <c r="S83" i="7"/>
  <c r="S68" i="7"/>
  <c r="S28" i="7"/>
  <c r="S6" i="7"/>
  <c r="S41" i="7"/>
  <c r="S67" i="7"/>
  <c r="S33" i="7"/>
  <c r="S97" i="7"/>
  <c r="S141" i="7"/>
  <c r="S27" i="7"/>
  <c r="S15" i="7"/>
  <c r="S135" i="7"/>
  <c r="S46" i="7"/>
  <c r="S54" i="7"/>
  <c r="S66" i="7"/>
  <c r="S86" i="7"/>
  <c r="S123" i="7"/>
  <c r="S128" i="7"/>
  <c r="S23" i="7"/>
  <c r="S34" i="7"/>
  <c r="S84" i="7"/>
  <c r="S147" i="7"/>
  <c r="S121" i="7"/>
  <c r="S9" i="7"/>
  <c r="S95" i="7"/>
  <c r="S44" i="7"/>
  <c r="S63" i="7"/>
  <c r="S91" i="7"/>
  <c r="S148" i="7"/>
  <c r="S94" i="7"/>
  <c r="S40" i="7"/>
  <c r="S132" i="7"/>
  <c r="S56" i="7"/>
  <c r="S99" i="7"/>
  <c r="S76" i="7"/>
  <c r="S105" i="7"/>
  <c r="S55" i="7"/>
  <c r="S38" i="7"/>
  <c r="S25" i="7"/>
  <c r="S111" i="7"/>
  <c r="S48" i="7"/>
  <c r="S108" i="7"/>
  <c r="S10" i="7"/>
  <c r="S149" i="7"/>
  <c r="S30" i="7"/>
  <c r="S37" i="7"/>
  <c r="S137" i="7"/>
  <c r="S11" i="7"/>
  <c r="S133" i="7"/>
  <c r="S18" i="7"/>
  <c r="S107" i="7"/>
  <c r="S35" i="7"/>
  <c r="S140" i="7"/>
  <c r="S119" i="7"/>
  <c r="S112" i="7"/>
  <c r="S32" i="7"/>
  <c r="S124" i="7"/>
  <c r="S5" i="7"/>
  <c r="S17" i="7"/>
  <c r="S90" i="7"/>
  <c r="S115" i="7"/>
  <c r="S82" i="7"/>
  <c r="S20" i="7"/>
  <c r="S29" i="7"/>
  <c r="S47" i="7"/>
  <c r="S120" i="7"/>
  <c r="S45" i="7"/>
  <c r="S31" i="7"/>
  <c r="S53" i="7"/>
  <c r="S93" i="7"/>
  <c r="A22" i="6" l="1"/>
  <c r="A37" i="8"/>
  <c r="A58" i="8"/>
  <c r="A33" i="8"/>
  <c r="A34" i="8"/>
  <c r="A16" i="8"/>
  <c r="A60" i="8"/>
  <c r="A55" i="8"/>
  <c r="A65" i="8"/>
  <c r="A5" i="8"/>
  <c r="A9" i="8"/>
  <c r="A20" i="8"/>
  <c r="A63" i="8"/>
  <c r="A40" i="8"/>
  <c r="A32" i="8"/>
  <c r="A51" i="8"/>
  <c r="A15" i="8"/>
  <c r="A67" i="8"/>
  <c r="A53" i="8"/>
  <c r="A47" i="8"/>
  <c r="A10" i="8"/>
  <c r="A38" i="8"/>
  <c r="A8" i="8"/>
  <c r="A13" i="8"/>
  <c r="A45" i="8"/>
  <c r="A4" i="8"/>
  <c r="A23" i="8"/>
  <c r="A25" i="8"/>
  <c r="A61" i="8"/>
  <c r="L1" i="4"/>
  <c r="A44" i="8"/>
  <c r="A46" i="8"/>
  <c r="AL29" i="4"/>
  <c r="A12" i="8"/>
  <c r="A57" i="8"/>
  <c r="B22" i="6"/>
  <c r="A22" i="8"/>
  <c r="A36" i="8"/>
  <c r="A49" i="8"/>
  <c r="A31" i="8"/>
  <c r="A59" i="8"/>
  <c r="A64" i="8"/>
  <c r="A50" i="8"/>
  <c r="A43" i="8"/>
  <c r="A19" i="8"/>
  <c r="A27" i="8"/>
  <c r="A39" i="8"/>
  <c r="A52" i="8"/>
  <c r="A30" i="8"/>
  <c r="A7" i="8"/>
  <c r="A48" i="8"/>
  <c r="A35" i="8"/>
  <c r="A17" i="8"/>
  <c r="A54" i="8"/>
  <c r="A56" i="8"/>
  <c r="A66" i="8"/>
  <c r="A29" i="8"/>
  <c r="A24" i="8"/>
  <c r="A6" i="8"/>
  <c r="A41" i="8"/>
  <c r="D2" i="7"/>
  <c r="E4" i="7" a="1"/>
  <c r="A28" i="8"/>
  <c r="A21" i="8"/>
  <c r="A62" i="8"/>
  <c r="A14" i="8"/>
  <c r="A18" i="8"/>
  <c r="A42" i="8"/>
  <c r="A26" i="8"/>
  <c r="A11" i="8"/>
  <c r="L34" i="4"/>
  <c r="M34" i="4"/>
  <c r="AC34" i="4"/>
  <c r="L35" i="4"/>
  <c r="M35" i="4"/>
  <c r="AC35" i="4"/>
  <c r="L10" i="4"/>
  <c r="M10" i="4"/>
  <c r="AC10" i="4"/>
  <c r="L43" i="4"/>
  <c r="M43" i="4"/>
  <c r="AC43" i="4"/>
  <c r="L23" i="4"/>
  <c r="M23" i="4"/>
  <c r="AC23" i="4"/>
  <c r="L7" i="4"/>
  <c r="M7" i="4"/>
  <c r="AC7" i="4"/>
  <c r="L26" i="4"/>
  <c r="M26" i="4"/>
  <c r="AC26" i="4"/>
  <c r="L33" i="4"/>
  <c r="M33" i="4"/>
  <c r="AC33" i="4"/>
  <c r="L4" i="4"/>
  <c r="M4" i="4"/>
  <c r="AC4" i="4"/>
  <c r="L46" i="4"/>
  <c r="M46" i="4"/>
  <c r="AC46" i="4"/>
  <c r="L14" i="4"/>
  <c r="M14" i="4"/>
  <c r="AC14" i="4"/>
  <c r="L38" i="4"/>
  <c r="M38" i="4"/>
  <c r="AC38" i="4"/>
  <c r="L40" i="4"/>
  <c r="M40" i="4"/>
  <c r="AC40" i="4"/>
  <c r="L18" i="4"/>
  <c r="M18" i="4"/>
  <c r="AC18" i="4"/>
  <c r="L17" i="4"/>
  <c r="M17" i="4"/>
  <c r="AC17" i="4"/>
  <c r="L8" i="4"/>
  <c r="M8" i="4"/>
  <c r="AC8" i="4"/>
  <c r="L45" i="4"/>
  <c r="M45" i="4"/>
  <c r="AC45" i="4"/>
  <c r="L48" i="4"/>
  <c r="M48" i="4"/>
  <c r="AC48" i="4"/>
  <c r="L11" i="4"/>
  <c r="M11" i="4"/>
  <c r="AC11" i="4"/>
  <c r="L12" i="4"/>
  <c r="M12" i="4"/>
  <c r="AC12" i="4"/>
  <c r="L15" i="4"/>
  <c r="M15" i="4"/>
  <c r="AC15" i="4"/>
  <c r="L24" i="4"/>
  <c r="M24" i="4"/>
  <c r="AC24" i="4"/>
  <c r="L25" i="4"/>
  <c r="M25" i="4"/>
  <c r="AC25" i="4"/>
  <c r="L41" i="4"/>
  <c r="M41" i="4"/>
  <c r="AC41" i="4"/>
  <c r="L36" i="4"/>
  <c r="M36" i="4"/>
  <c r="AC36" i="4"/>
  <c r="L16" i="4"/>
  <c r="M16" i="4"/>
  <c r="AC16" i="4"/>
  <c r="L2" i="4"/>
  <c r="M2" i="4"/>
  <c r="AC2" i="4"/>
  <c r="L20" i="4"/>
  <c r="M20" i="4"/>
  <c r="AC20" i="4"/>
  <c r="L22" i="4"/>
  <c r="M22" i="4"/>
  <c r="AC22" i="4"/>
  <c r="L9" i="4"/>
  <c r="M9" i="4"/>
  <c r="AC9" i="4"/>
  <c r="L47" i="4"/>
  <c r="M47" i="4"/>
  <c r="AC47" i="4"/>
  <c r="L28" i="4"/>
  <c r="M28" i="4"/>
  <c r="AC28" i="4"/>
  <c r="L44" i="4"/>
  <c r="M44" i="4"/>
  <c r="AC44" i="4"/>
  <c r="L31" i="4"/>
  <c r="M31" i="4"/>
  <c r="AC31" i="4"/>
  <c r="L27" i="4"/>
  <c r="M27" i="4"/>
  <c r="AC27" i="4"/>
  <c r="L42" i="4"/>
  <c r="M42" i="4"/>
  <c r="AC42" i="4"/>
  <c r="L5" i="4"/>
  <c r="M5" i="4"/>
  <c r="AC5" i="4"/>
  <c r="L13" i="4"/>
  <c r="M13" i="4"/>
  <c r="AC13" i="4"/>
  <c r="L3" i="4"/>
  <c r="M3" i="4"/>
  <c r="AC3" i="4"/>
  <c r="L19" i="4"/>
  <c r="M19" i="4"/>
  <c r="AC19" i="4"/>
  <c r="L39" i="4"/>
  <c r="M39" i="4"/>
  <c r="AC39" i="4"/>
  <c r="L37" i="4"/>
  <c r="M37" i="4"/>
  <c r="AC37" i="4"/>
  <c r="L32" i="4"/>
  <c r="M32" i="4"/>
  <c r="AC32" i="4"/>
  <c r="L21" i="4"/>
  <c r="M21" i="4"/>
  <c r="AC21" i="4"/>
  <c r="L6" i="4"/>
  <c r="M6" i="4"/>
  <c r="AC6" i="4"/>
  <c r="L29" i="4"/>
  <c r="M29" i="4"/>
  <c r="AC29" i="4"/>
  <c r="L30" i="4"/>
  <c r="M30" i="4"/>
  <c r="AC30" i="4"/>
  <c r="V11" i="8"/>
  <c r="X11" i="8" s="1"/>
  <c r="E104" i="7"/>
  <c r="E106" i="7"/>
  <c r="E141" i="7"/>
  <c r="E58" i="7"/>
  <c r="E80" i="7"/>
  <c r="E49" i="7"/>
  <c r="E60" i="7"/>
  <c r="E139" i="7"/>
  <c r="E76" i="7"/>
  <c r="E84" i="7"/>
  <c r="E22" i="7"/>
  <c r="E117" i="7"/>
  <c r="E135" i="7"/>
  <c r="E43" i="7"/>
  <c r="E29" i="7"/>
  <c r="E94" i="7"/>
  <c r="E120" i="7"/>
  <c r="E102" i="7"/>
  <c r="V31" i="8"/>
  <c r="X31" i="8" s="1"/>
  <c r="V57" i="8"/>
  <c r="X57" i="8" s="1"/>
  <c r="V61" i="8"/>
  <c r="X61" i="8" s="1"/>
  <c r="V4" i="8"/>
  <c r="X4" i="8" s="1"/>
  <c r="V67" i="8"/>
  <c r="X67" i="8" s="1"/>
  <c r="V32" i="8"/>
  <c r="X32" i="8" s="1"/>
  <c r="V20" i="8"/>
  <c r="X20" i="8"/>
  <c r="AB57" i="8"/>
  <c r="V14" i="8"/>
  <c r="X14" i="8" s="1"/>
  <c r="E118" i="7"/>
  <c r="E85" i="7"/>
  <c r="E147" i="7"/>
  <c r="E37" i="7"/>
  <c r="E126" i="7"/>
  <c r="E79" i="7"/>
  <c r="E143" i="7"/>
  <c r="E9" i="7"/>
  <c r="E11" i="7"/>
  <c r="E87" i="7"/>
  <c r="E46" i="7"/>
  <c r="E41" i="7"/>
  <c r="E15" i="7"/>
  <c r="E95" i="7"/>
  <c r="E13" i="7"/>
  <c r="E5" i="7"/>
  <c r="E32" i="7"/>
  <c r="E36" i="7"/>
  <c r="E52" i="7"/>
  <c r="V24" i="8"/>
  <c r="X24" i="8" s="1"/>
  <c r="V56" i="8"/>
  <c r="X56" i="8"/>
  <c r="V48" i="8"/>
  <c r="X48" i="8" s="1"/>
  <c r="V39" i="8"/>
  <c r="X39" i="8" s="1"/>
  <c r="V50" i="8"/>
  <c r="X50" i="8" s="1"/>
  <c r="Y57" i="8"/>
  <c r="AA57" i="8" s="1"/>
  <c r="Y61" i="8"/>
  <c r="AA61" i="8" s="1"/>
  <c r="Y67" i="8"/>
  <c r="AA67" i="8" s="1"/>
  <c r="V9" i="8"/>
  <c r="X9" i="8" s="1"/>
  <c r="V55" i="8"/>
  <c r="X55" i="8" s="1"/>
  <c r="V33" i="8"/>
  <c r="X33" i="8" s="1"/>
  <c r="V21" i="8"/>
  <c r="X21" i="8" s="1"/>
  <c r="E138" i="7"/>
  <c r="E26" i="7"/>
  <c r="E129" i="7"/>
  <c r="E6" i="7"/>
  <c r="E149" i="7"/>
  <c r="E19" i="7"/>
  <c r="E65" i="7"/>
  <c r="E73" i="7"/>
  <c r="E28" i="7"/>
  <c r="E140" i="7"/>
  <c r="E20" i="7"/>
  <c r="E119" i="7"/>
  <c r="E100" i="7"/>
  <c r="E115" i="7"/>
  <c r="AB66" i="8"/>
  <c r="AD66" i="8" s="1"/>
  <c r="V35" i="8"/>
  <c r="X35" i="8" s="1"/>
  <c r="V27" i="8"/>
  <c r="X27" i="8" s="1"/>
  <c r="AB59" i="8"/>
  <c r="AD59" i="8" s="1"/>
  <c r="AF59" i="8"/>
  <c r="V25" i="8"/>
  <c r="X25" i="8" s="1"/>
  <c r="AF67" i="8"/>
  <c r="AE67" i="8" s="1"/>
  <c r="V65" i="8"/>
  <c r="X65" i="8" s="1"/>
  <c r="V34" i="8"/>
  <c r="X34" i="8" s="1"/>
  <c r="V42" i="8"/>
  <c r="X42" i="8" s="1"/>
  <c r="E42" i="7"/>
  <c r="E4" i="7"/>
  <c r="E133" i="7"/>
  <c r="E78" i="7"/>
  <c r="E86" i="7"/>
  <c r="E150" i="7"/>
  <c r="E38" i="7"/>
  <c r="E81" i="7"/>
  <c r="E14" i="7"/>
  <c r="E105" i="7"/>
  <c r="E90" i="7"/>
  <c r="E124" i="7"/>
  <c r="E91" i="7"/>
  <c r="V66" i="8"/>
  <c r="X66" i="8" s="1"/>
  <c r="V19" i="8"/>
  <c r="X19" i="8" s="1"/>
  <c r="Y59" i="8"/>
  <c r="AA59" i="8" s="1"/>
  <c r="V8" i="8"/>
  <c r="X8" i="8" s="1"/>
  <c r="AG67" i="8"/>
  <c r="V63" i="8"/>
  <c r="X63" i="8" s="1"/>
  <c r="Y65" i="8"/>
  <c r="AA65" i="8" s="1"/>
  <c r="V28" i="8"/>
  <c r="X28" i="8" s="1"/>
  <c r="E48" i="7"/>
  <c r="E71" i="7"/>
  <c r="E31" i="7"/>
  <c r="E127" i="7"/>
  <c r="E109" i="7"/>
  <c r="E125" i="7"/>
  <c r="E93" i="7"/>
  <c r="E66" i="7"/>
  <c r="E88" i="7"/>
  <c r="E123" i="7"/>
  <c r="E110" i="7"/>
  <c r="E134" i="7"/>
  <c r="E107" i="7"/>
  <c r="V41" i="8"/>
  <c r="X41" i="8" s="1"/>
  <c r="AF66" i="8"/>
  <c r="V7" i="8"/>
  <c r="X7" i="8" s="1"/>
  <c r="V26" i="8"/>
  <c r="X26" i="8" s="1"/>
  <c r="E23" i="7"/>
  <c r="E89" i="7"/>
  <c r="E148" i="7"/>
  <c r="E98" i="7"/>
  <c r="E24" i="7"/>
  <c r="E44" i="7"/>
  <c r="E57" i="7"/>
  <c r="E113" i="7"/>
  <c r="E132" i="7"/>
  <c r="Y66" i="8"/>
  <c r="AA66" i="8" s="1"/>
  <c r="V52" i="8"/>
  <c r="X52" i="8" s="1"/>
  <c r="V59" i="8"/>
  <c r="X59" i="8" s="1"/>
  <c r="AB67" i="8"/>
  <c r="AD67" i="8" s="1"/>
  <c r="V16" i="8"/>
  <c r="X16" i="8" s="1"/>
  <c r="E121" i="7"/>
  <c r="E59" i="7"/>
  <c r="E50" i="7"/>
  <c r="E12" i="7"/>
  <c r="E16" i="7"/>
  <c r="E47" i="7"/>
  <c r="E69" i="7"/>
  <c r="E61" i="7"/>
  <c r="E64" i="7"/>
  <c r="V54" i="8"/>
  <c r="X54" i="8" s="1"/>
  <c r="V49" i="8"/>
  <c r="X49" i="8" s="1"/>
  <c r="V44" i="8"/>
  <c r="X44" i="8" s="1"/>
  <c r="V13" i="8"/>
  <c r="X13" i="8" s="1"/>
  <c r="V15" i="8"/>
  <c r="X15" i="8" s="1"/>
  <c r="V18" i="8"/>
  <c r="X18" i="8" s="1"/>
  <c r="E35" i="7"/>
  <c r="E128" i="7"/>
  <c r="E108" i="7"/>
  <c r="E131" i="7"/>
  <c r="E146" i="7"/>
  <c r="E25" i="7"/>
  <c r="E145" i="7"/>
  <c r="E101" i="7"/>
  <c r="E83" i="7"/>
  <c r="V38" i="8"/>
  <c r="X38" i="8" s="1"/>
  <c r="V5" i="8"/>
  <c r="X5" i="8" s="1"/>
  <c r="AB58" i="8"/>
  <c r="AD58" i="8" s="1"/>
  <c r="AF58" i="8"/>
  <c r="V62" i="8"/>
  <c r="X62" i="8" s="1"/>
  <c r="E68" i="7"/>
  <c r="E17" i="7"/>
  <c r="E92" i="7"/>
  <c r="E33" i="7"/>
  <c r="E112" i="7"/>
  <c r="E96" i="7"/>
  <c r="E142" i="7"/>
  <c r="E51" i="7"/>
  <c r="E82" i="7"/>
  <c r="V17" i="8"/>
  <c r="X17" i="8" s="1"/>
  <c r="V43" i="8"/>
  <c r="X43" i="8" s="1"/>
  <c r="AB61" i="8"/>
  <c r="AD61" i="8" s="1"/>
  <c r="AF61" i="8"/>
  <c r="V10" i="8"/>
  <c r="X10" i="8" s="1"/>
  <c r="V58" i="8"/>
  <c r="X58" i="8" s="1"/>
  <c r="Y62" i="8"/>
  <c r="AA62" i="8" s="1"/>
  <c r="E7" i="7"/>
  <c r="E114" i="7"/>
  <c r="E27" i="7"/>
  <c r="E103" i="7"/>
  <c r="E67" i="7"/>
  <c r="E99" i="7"/>
  <c r="E21" i="7"/>
  <c r="E34" i="7"/>
  <c r="V6" i="8"/>
  <c r="X6" i="8" s="1"/>
  <c r="V36" i="8"/>
  <c r="X36" i="8" s="1"/>
  <c r="V51" i="8"/>
  <c r="X51" i="8" s="1"/>
  <c r="AB65" i="8"/>
  <c r="AD65" i="8" s="1"/>
  <c r="AF65" i="8"/>
  <c r="Y58" i="8"/>
  <c r="AA58" i="8" s="1"/>
  <c r="AB62" i="8"/>
  <c r="AD62" i="8" s="1"/>
  <c r="AF62" i="8"/>
  <c r="E8" i="7"/>
  <c r="E111" i="7"/>
  <c r="E56" i="7"/>
  <c r="E130" i="7"/>
  <c r="E54" i="7"/>
  <c r="E97" i="7"/>
  <c r="E62" i="7"/>
  <c r="AB64" i="8"/>
  <c r="AD64" i="8" s="1"/>
  <c r="AF64" i="8"/>
  <c r="V22" i="8"/>
  <c r="X22" i="8" s="1"/>
  <c r="V23" i="8"/>
  <c r="X23" i="8" s="1"/>
  <c r="V47" i="8"/>
  <c r="X47" i="8" s="1"/>
  <c r="V40" i="8"/>
  <c r="X40" i="8" s="1"/>
  <c r="AB60" i="8"/>
  <c r="AD60" i="8" s="1"/>
  <c r="AF60" i="8"/>
  <c r="E75" i="7"/>
  <c r="E136" i="7"/>
  <c r="E30" i="7"/>
  <c r="E137" i="7"/>
  <c r="E18" i="7"/>
  <c r="E72" i="7"/>
  <c r="E74" i="7"/>
  <c r="E55" i="7"/>
  <c r="V64" i="8"/>
  <c r="X64" i="8" s="1"/>
  <c r="V12" i="8"/>
  <c r="X12" i="8" s="1"/>
  <c r="Y63" i="8"/>
  <c r="AA63" i="8" s="1"/>
  <c r="V37" i="8"/>
  <c r="X37" i="8" s="1"/>
  <c r="E122" i="7"/>
  <c r="E10" i="7"/>
  <c r="E63" i="7"/>
  <c r="E77" i="7"/>
  <c r="E116" i="7"/>
  <c r="E70" i="7"/>
  <c r="V29" i="8"/>
  <c r="X29" i="8" s="1"/>
  <c r="Y64" i="8"/>
  <c r="AA64" i="8" s="1"/>
  <c r="V45" i="8"/>
  <c r="X45" i="8" s="1"/>
  <c r="AB63" i="8"/>
  <c r="AD63" i="8" s="1"/>
  <c r="AF63" i="8"/>
  <c r="E53" i="7"/>
  <c r="E39" i="7"/>
  <c r="V30" i="8"/>
  <c r="X30" i="8" s="1"/>
  <c r="Y60" i="8"/>
  <c r="AA60" i="8" s="1"/>
  <c r="E40" i="7"/>
  <c r="E45" i="7"/>
  <c r="E144" i="7"/>
  <c r="V46" i="8"/>
  <c r="X46" i="8" s="1"/>
  <c r="V53" i="8"/>
  <c r="X53" i="8" s="1"/>
  <c r="V60" i="8"/>
  <c r="X60" i="8" s="1"/>
  <c r="Y41" i="8"/>
  <c r="Y45" i="8"/>
  <c r="Y44" i="8"/>
  <c r="Y47" i="8"/>
  <c r="Y10" i="8"/>
  <c r="Y17" i="8"/>
  <c r="Y30" i="8"/>
  <c r="Y21" i="8"/>
  <c r="Y9" i="8"/>
  <c r="Y11" i="8"/>
  <c r="Y12" i="8"/>
  <c r="Y23" i="8"/>
  <c r="Y25" i="8"/>
  <c r="Y52" i="8"/>
  <c r="Y5" i="8"/>
  <c r="Y46" i="8"/>
  <c r="Y16" i="8"/>
  <c r="Y36" i="8"/>
  <c r="Y33" i="8"/>
  <c r="Y8" i="8"/>
  <c r="Y26" i="8"/>
  <c r="Y15" i="8"/>
  <c r="Y20" i="8"/>
  <c r="Y24" i="8"/>
  <c r="Y54" i="8"/>
  <c r="Y35" i="8"/>
  <c r="Y18" i="8"/>
  <c r="Y4" i="8"/>
  <c r="Y56" i="8"/>
  <c r="Y27" i="8"/>
  <c r="Y49" i="8"/>
  <c r="Y14" i="8"/>
  <c r="Y34" i="8"/>
  <c r="Y38" i="8"/>
  <c r="Y6" i="8"/>
  <c r="Y40" i="8"/>
  <c r="Y31" i="8"/>
  <c r="Y48" i="8"/>
  <c r="Y19" i="8"/>
  <c r="Y43" i="8"/>
  <c r="Y53" i="8"/>
  <c r="Y42" i="8"/>
  <c r="Y28" i="8"/>
  <c r="Y13" i="8"/>
  <c r="Y29" i="8"/>
  <c r="Y50" i="8"/>
  <c r="Y7" i="8"/>
  <c r="Y22" i="8"/>
  <c r="Y39" i="8"/>
  <c r="Y32" i="8"/>
  <c r="Y55" i="8"/>
  <c r="Y51" i="8"/>
  <c r="Y37" i="8"/>
  <c r="H104" i="7"/>
  <c r="H106" i="7"/>
  <c r="H141" i="7"/>
  <c r="H58" i="7"/>
  <c r="H80" i="7"/>
  <c r="H49" i="7"/>
  <c r="H60" i="7"/>
  <c r="H139" i="7"/>
  <c r="H76" i="7"/>
  <c r="H84" i="7"/>
  <c r="H22" i="7"/>
  <c r="H117" i="7"/>
  <c r="H135" i="7"/>
  <c r="H43" i="7"/>
  <c r="H29" i="7"/>
  <c r="H94" i="7"/>
  <c r="H120" i="7"/>
  <c r="H102" i="7"/>
  <c r="H118" i="7"/>
  <c r="H85" i="7"/>
  <c r="H147" i="7"/>
  <c r="H37" i="7"/>
  <c r="H126" i="7"/>
  <c r="H79" i="7"/>
  <c r="H143" i="7"/>
  <c r="H9" i="7"/>
  <c r="H11" i="7"/>
  <c r="H87" i="7"/>
  <c r="H46" i="7"/>
  <c r="H41" i="7"/>
  <c r="H15" i="7"/>
  <c r="H95" i="7"/>
  <c r="H13" i="7"/>
  <c r="H5" i="7"/>
  <c r="H32" i="7"/>
  <c r="H36" i="7"/>
  <c r="H52" i="7"/>
  <c r="H42" i="7"/>
  <c r="H40" i="7"/>
  <c r="H128" i="7"/>
  <c r="H111" i="7"/>
  <c r="H78" i="7"/>
  <c r="H137" i="7"/>
  <c r="H12" i="7"/>
  <c r="H103" i="7"/>
  <c r="H38" i="7"/>
  <c r="H53" i="7"/>
  <c r="H44" i="7"/>
  <c r="H96" i="7"/>
  <c r="H105" i="7"/>
  <c r="H21" i="7"/>
  <c r="H144" i="7"/>
  <c r="H101" i="7"/>
  <c r="H82" i="7"/>
  <c r="H122" i="7"/>
  <c r="H48" i="7"/>
  <c r="H26" i="7"/>
  <c r="H17" i="7"/>
  <c r="H30" i="7"/>
  <c r="H127" i="7"/>
  <c r="H149" i="7"/>
  <c r="H131" i="7"/>
  <c r="H130" i="7"/>
  <c r="H93" i="7"/>
  <c r="H73" i="7"/>
  <c r="H47" i="7"/>
  <c r="H99" i="7"/>
  <c r="H123" i="7"/>
  <c r="H20" i="7"/>
  <c r="H113" i="7"/>
  <c r="H51" i="7"/>
  <c r="H107" i="7"/>
  <c r="H114" i="7"/>
  <c r="H108" i="7"/>
  <c r="H18" i="7"/>
  <c r="H81" i="7"/>
  <c r="H54" i="7"/>
  <c r="H61" i="7"/>
  <c r="H70" i="7"/>
  <c r="H121" i="7"/>
  <c r="H7" i="7"/>
  <c r="H71" i="7"/>
  <c r="H129" i="7"/>
  <c r="H148" i="7"/>
  <c r="H92" i="7"/>
  <c r="H19" i="7"/>
  <c r="H77" i="7"/>
  <c r="H66" i="7"/>
  <c r="H72" i="7"/>
  <c r="H110" i="7"/>
  <c r="H62" i="7"/>
  <c r="H112" i="7"/>
  <c r="H116" i="7"/>
  <c r="H124" i="7"/>
  <c r="H125" i="7"/>
  <c r="H74" i="7"/>
  <c r="H100" i="7"/>
  <c r="H75" i="7"/>
  <c r="H91" i="7"/>
  <c r="H115" i="7"/>
  <c r="H23" i="7"/>
  <c r="H68" i="7"/>
  <c r="H4" i="7"/>
  <c r="H10" i="7"/>
  <c r="H86" i="7"/>
  <c r="H33" i="7"/>
  <c r="H16" i="7"/>
  <c r="H25" i="7"/>
  <c r="H57" i="7"/>
  <c r="H90" i="7"/>
  <c r="H34" i="7"/>
  <c r="H109" i="7"/>
  <c r="H28" i="7"/>
  <c r="H69" i="7"/>
  <c r="H119" i="7"/>
  <c r="H132" i="7"/>
  <c r="H8" i="7"/>
  <c r="H89" i="7"/>
  <c r="H133" i="7"/>
  <c r="H50" i="7"/>
  <c r="H27" i="7"/>
  <c r="H63" i="7"/>
  <c r="H24" i="7"/>
  <c r="H39" i="7"/>
  <c r="H145" i="7"/>
  <c r="H55" i="7"/>
  <c r="H138" i="7"/>
  <c r="H136" i="7"/>
  <c r="H59" i="7"/>
  <c r="H31" i="7"/>
  <c r="H6" i="7"/>
  <c r="H56" i="7"/>
  <c r="H98" i="7"/>
  <c r="H65" i="7"/>
  <c r="H67" i="7"/>
  <c r="H45" i="7"/>
  <c r="H88" i="7"/>
  <c r="H142" i="7"/>
  <c r="H134" i="7"/>
  <c r="H83" i="7"/>
  <c r="H146" i="7"/>
  <c r="H35" i="7"/>
  <c r="H150" i="7"/>
  <c r="H14" i="7"/>
  <c r="H97" i="7"/>
  <c r="H64" i="7"/>
  <c r="H140" i="7"/>
  <c r="AA37" i="8" l="1"/>
  <c r="AA51" i="8"/>
  <c r="AA55" i="8"/>
  <c r="AA32" i="8"/>
  <c r="AA39" i="8"/>
  <c r="AA22" i="8"/>
  <c r="AA7" i="8"/>
  <c r="AA50" i="8"/>
  <c r="AA29" i="8"/>
  <c r="AA13" i="8"/>
  <c r="AA28" i="8"/>
  <c r="AA42" i="8"/>
  <c r="AA53" i="8"/>
  <c r="AA43" i="8"/>
  <c r="AA19" i="8"/>
  <c r="AA48" i="8"/>
  <c r="AA31" i="8"/>
  <c r="AA40" i="8"/>
  <c r="AA6" i="8"/>
  <c r="AA38" i="8"/>
  <c r="AA34" i="8"/>
  <c r="AA14" i="8"/>
  <c r="AA49" i="8"/>
  <c r="AA27" i="8"/>
  <c r="AA56" i="8"/>
  <c r="AA4" i="8"/>
  <c r="AA18" i="8"/>
  <c r="AA35" i="8"/>
  <c r="AA54" i="8"/>
  <c r="AA24" i="8"/>
  <c r="AA20" i="8"/>
  <c r="AA15" i="8"/>
  <c r="AA26" i="8"/>
  <c r="AA8" i="8"/>
  <c r="AA33" i="8"/>
  <c r="AA36" i="8"/>
  <c r="AA16" i="8"/>
  <c r="AA46" i="8"/>
  <c r="AA5" i="8"/>
  <c r="AA52" i="8"/>
  <c r="AA25" i="8"/>
  <c r="AA23" i="8"/>
  <c r="AA12" i="8"/>
  <c r="AA11" i="8"/>
  <c r="AA9" i="8"/>
  <c r="AA21" i="8"/>
  <c r="AA30" i="8"/>
  <c r="AA17" i="8"/>
  <c r="AA10" i="8"/>
  <c r="AA47" i="8"/>
  <c r="AA44" i="8"/>
  <c r="AA45" i="8"/>
  <c r="AA41" i="8"/>
  <c r="X1" i="8"/>
  <c r="X2" i="8" s="1"/>
  <c r="V1" i="8"/>
  <c r="V2" i="8" s="1"/>
  <c r="AD57" i="8"/>
  <c r="AF57" i="8"/>
  <c r="AG66" i="8"/>
  <c r="AB37" i="8"/>
  <c r="AB29" i="8"/>
  <c r="AB31" i="8"/>
  <c r="AB56" i="8"/>
  <c r="AB26" i="8"/>
  <c r="AB25" i="8"/>
  <c r="AB10" i="8"/>
  <c r="AB51" i="8"/>
  <c r="AB13" i="8"/>
  <c r="AB40" i="8"/>
  <c r="AB8" i="8"/>
  <c r="AB23" i="8"/>
  <c r="AB47" i="8"/>
  <c r="AB55" i="8"/>
  <c r="AB28" i="8"/>
  <c r="AB6" i="8"/>
  <c r="AB18" i="8"/>
  <c r="AB33" i="8"/>
  <c r="AB12" i="8"/>
  <c r="AB44" i="8"/>
  <c r="AB32" i="8"/>
  <c r="AB42" i="8"/>
  <c r="AB38" i="8"/>
  <c r="AB35" i="8"/>
  <c r="AB36" i="8"/>
  <c r="AB11" i="8"/>
  <c r="AB45" i="8"/>
  <c r="AB4" i="8"/>
  <c r="AB39" i="8"/>
  <c r="AB53" i="8"/>
  <c r="AB34" i="8"/>
  <c r="AB54" i="8"/>
  <c r="AB16" i="8"/>
  <c r="AB9" i="8"/>
  <c r="AB41" i="8"/>
  <c r="AB22" i="8"/>
  <c r="AB43" i="8"/>
  <c r="AB14" i="8"/>
  <c r="AB24" i="8"/>
  <c r="AB46" i="8"/>
  <c r="AB21" i="8"/>
  <c r="AB7" i="8"/>
  <c r="AB19" i="8"/>
  <c r="AB49" i="8"/>
  <c r="AB20" i="8"/>
  <c r="AB5" i="8"/>
  <c r="AB30" i="8"/>
  <c r="AB50" i="8"/>
  <c r="AB48" i="8"/>
  <c r="AB27" i="8"/>
  <c r="AB15" i="8"/>
  <c r="AB52" i="8"/>
  <c r="AB17" i="8"/>
  <c r="AB1" i="8"/>
  <c r="AD17" i="8" l="1"/>
  <c r="AF17" i="8" s="1"/>
  <c r="AD52" i="8"/>
  <c r="AF52" i="8" s="1"/>
  <c r="AD15" i="8"/>
  <c r="AF15" i="8" s="1"/>
  <c r="AD27" i="8"/>
  <c r="AF27" i="8" s="1"/>
  <c r="AD48" i="8"/>
  <c r="AF48" i="8" s="1"/>
  <c r="AD50" i="8"/>
  <c r="AF50" i="8" s="1"/>
  <c r="AD30" i="8"/>
  <c r="AF30" i="8" s="1"/>
  <c r="AD5" i="8"/>
  <c r="AF5" i="8" s="1"/>
  <c r="AD20" i="8"/>
  <c r="AF20" i="8" s="1"/>
  <c r="AD49" i="8"/>
  <c r="AF49" i="8" s="1"/>
  <c r="AD19" i="8"/>
  <c r="AF19" i="8" s="1"/>
  <c r="AD7" i="8"/>
  <c r="AF7" i="8" s="1"/>
  <c r="AD21" i="8"/>
  <c r="AF21" i="8" s="1"/>
  <c r="AD46" i="8"/>
  <c r="AF46" i="8" s="1"/>
  <c r="AD24" i="8"/>
  <c r="AF24" i="8" s="1"/>
  <c r="AD14" i="8"/>
  <c r="AF14" i="8" s="1"/>
  <c r="AD43" i="8"/>
  <c r="AF43" i="8" s="1"/>
  <c r="AD22" i="8"/>
  <c r="AF22" i="8" s="1"/>
  <c r="AD41" i="8"/>
  <c r="AF41" i="8" s="1"/>
  <c r="AD9" i="8"/>
  <c r="AF9" i="8" s="1"/>
  <c r="AD16" i="8"/>
  <c r="AF16" i="8" s="1"/>
  <c r="AD54" i="8"/>
  <c r="AF54" i="8" s="1"/>
  <c r="AD34" i="8"/>
  <c r="AF34" i="8" s="1"/>
  <c r="AD53" i="8"/>
  <c r="AF53" i="8" s="1"/>
  <c r="AD39" i="8"/>
  <c r="AF39" i="8" s="1"/>
  <c r="AD45" i="8"/>
  <c r="AF45" i="8" s="1"/>
  <c r="AD11" i="8"/>
  <c r="AF11" i="8" s="1"/>
  <c r="AD36" i="8"/>
  <c r="AF36" i="8" s="1"/>
  <c r="AD35" i="8"/>
  <c r="AF35" i="8" s="1"/>
  <c r="AD38" i="8"/>
  <c r="AF38" i="8" s="1"/>
  <c r="AD42" i="8"/>
  <c r="AF42" i="8" s="1"/>
  <c r="AD32" i="8"/>
  <c r="AF32" i="8" s="1"/>
  <c r="AD44" i="8"/>
  <c r="AF44" i="8" s="1"/>
  <c r="AD12" i="8"/>
  <c r="AF12" i="8" s="1"/>
  <c r="AD33" i="8"/>
  <c r="AF33" i="8" s="1"/>
  <c r="AD18" i="8"/>
  <c r="AF18" i="8" s="1"/>
  <c r="AD6" i="8"/>
  <c r="AF6" i="8" s="1"/>
  <c r="AD28" i="8"/>
  <c r="AF28" i="8" s="1"/>
  <c r="AD55" i="8"/>
  <c r="AF55" i="8" s="1"/>
  <c r="AD47" i="8"/>
  <c r="AF47" i="8" s="1"/>
  <c r="AD23" i="8"/>
  <c r="AF23" i="8" s="1"/>
  <c r="AD8" i="8"/>
  <c r="AF8" i="8" s="1"/>
  <c r="AD40" i="8"/>
  <c r="AF40" i="8" s="1"/>
  <c r="AD13" i="8"/>
  <c r="AF13" i="8" s="1"/>
  <c r="AD51" i="8"/>
  <c r="AF51" i="8" s="1"/>
  <c r="AD10" i="8"/>
  <c r="AF10" i="8" s="1"/>
  <c r="AD25" i="8"/>
  <c r="AF25" i="8" s="1"/>
  <c r="AD26" i="8"/>
  <c r="AF26" i="8" s="1"/>
  <c r="AD56" i="8"/>
  <c r="AF56" i="8" s="1"/>
  <c r="AD31" i="8"/>
  <c r="AF31" i="8" s="1"/>
  <c r="AD29" i="8"/>
  <c r="AF29" i="8" s="1"/>
  <c r="AD37" i="8"/>
  <c r="AF37" i="8" s="1"/>
  <c r="AD4" i="8"/>
  <c r="AF4" i="8"/>
  <c r="AG62" i="8"/>
  <c r="AE66" i="8"/>
  <c r="AG61" i="8"/>
  <c r="AG60" i="8"/>
  <c r="AG64" i="8"/>
  <c r="AG63" i="8"/>
  <c r="AG58" i="8"/>
  <c r="AB2" i="8"/>
  <c r="AG26" i="8"/>
  <c r="AG56" i="8"/>
  <c r="AG24" i="8"/>
  <c r="AG21" i="8"/>
  <c r="AG9" i="8"/>
  <c r="AG8" i="8"/>
  <c r="AG39" i="8"/>
  <c r="AG43" i="8"/>
  <c r="AG37" i="8"/>
  <c r="AG50" i="8"/>
  <c r="AG5" i="8"/>
  <c r="AG52" i="8"/>
  <c r="AG35" i="8"/>
  <c r="AG31" i="8"/>
  <c r="AG25" i="8"/>
  <c r="AG10" i="8"/>
  <c r="AG30" i="8"/>
  <c r="AG34" i="8"/>
  <c r="AG12" i="8"/>
  <c r="AG33" i="8"/>
  <c r="AG44" i="8"/>
  <c r="AG55" i="8"/>
  <c r="AG41" i="8"/>
  <c r="AG17" i="8"/>
  <c r="AG6" i="8"/>
  <c r="AG15" i="8"/>
  <c r="AD1" i="8"/>
  <c r="AE21" i="8"/>
  <c r="AE44" i="8"/>
  <c r="AE55" i="8"/>
  <c r="AE50" i="8"/>
  <c r="AE37" i="8"/>
  <c r="AD2" i="8"/>
  <c r="AE65" i="8"/>
  <c r="AE25" i="8"/>
  <c r="AE63" i="8"/>
  <c r="AE8" i="8"/>
  <c r="AG65" i="8"/>
  <c r="AE56" i="8"/>
  <c r="AE33" i="8"/>
  <c r="AE34" i="8"/>
  <c r="AE12" i="8"/>
  <c r="AG57" i="8"/>
  <c r="AE31" i="8"/>
  <c r="AE52" i="8"/>
  <c r="AE15" i="8"/>
  <c r="AE43" i="8"/>
  <c r="AE26" i="8"/>
  <c r="AE41" i="8"/>
  <c r="AE62" i="8"/>
  <c r="AE64" i="8"/>
  <c r="AE61" i="8"/>
  <c r="AE35" i="8"/>
  <c r="AE24" i="8"/>
  <c r="AE9" i="8"/>
  <c r="AE58" i="8"/>
  <c r="AE10" i="8"/>
  <c r="AG59" i="8"/>
  <c r="AE5" i="8"/>
  <c r="AE6" i="8"/>
  <c r="AE60" i="8"/>
  <c r="AE30" i="8"/>
  <c r="AE39" i="8"/>
  <c r="AE17" i="8"/>
  <c r="AE16" i="8"/>
  <c r="AE29" i="8"/>
  <c r="AE7" i="8"/>
  <c r="AE42" i="8"/>
  <c r="AE46" i="8"/>
  <c r="AE20" i="8"/>
  <c r="AE47" i="8"/>
  <c r="AE53" i="8"/>
  <c r="AE48" i="8"/>
  <c r="AE57" i="8"/>
  <c r="AE28" i="8"/>
  <c r="AE14" i="8"/>
  <c r="AE27" i="8"/>
  <c r="AE49" i="8"/>
  <c r="AE36" i="8"/>
  <c r="AE13" i="8"/>
  <c r="AE23" i="8"/>
  <c r="AE19" i="8"/>
  <c r="AE11" i="8"/>
  <c r="AE22" i="8"/>
  <c r="AE18" i="8"/>
  <c r="AE54" i="8"/>
  <c r="AE38" i="8"/>
  <c r="AE40" i="8"/>
  <c r="AE45" i="8"/>
  <c r="AE59" i="8"/>
  <c r="AE32" i="8"/>
  <c r="AE51" i="8"/>
  <c r="AG22" i="8"/>
  <c r="AG19" i="8"/>
  <c r="AG4" i="8"/>
  <c r="AG53" i="8"/>
  <c r="AG42" i="8"/>
  <c r="AG32" i="8"/>
  <c r="AG11" i="8"/>
  <c r="AG28" i="8"/>
  <c r="AG40" i="8"/>
  <c r="AG45" i="8"/>
  <c r="AG23" i="8"/>
  <c r="AG46" i="8"/>
  <c r="AG51" i="8"/>
  <c r="AG54" i="8"/>
  <c r="AG7" i="8"/>
  <c r="AG38" i="8"/>
  <c r="AG13" i="8"/>
  <c r="AG16" i="8"/>
  <c r="AG20" i="8"/>
  <c r="AG18" i="8"/>
  <c r="AG49" i="8"/>
  <c r="AG14" i="8"/>
  <c r="AG36" i="8"/>
  <c r="AG48" i="8"/>
  <c r="AG27" i="8"/>
  <c r="AG29" i="8"/>
  <c r="AG47" i="8"/>
  <c r="AF1" i="8"/>
  <c r="AE4" i="8"/>
  <c r="AF2" i="8"/>
  <c r="AE1" i="8"/>
  <c r="AE2" i="8"/>
  <c r="Q149" i="7"/>
  <c r="R149" i="7" s="1"/>
  <c r="Q95" i="7"/>
  <c r="R95" i="7" s="1"/>
  <c r="Q52" i="7"/>
  <c r="R52" i="7"/>
  <c r="Q70" i="7"/>
  <c r="R70" i="7" s="1"/>
  <c r="Q109" i="7"/>
  <c r="R109" i="7" s="1"/>
  <c r="Q23" i="7"/>
  <c r="R23" i="7" s="1"/>
  <c r="Q74" i="7"/>
  <c r="R74" i="7" s="1"/>
  <c r="Q36" i="7"/>
  <c r="R36" i="7" s="1"/>
  <c r="Q33" i="7"/>
  <c r="R33" i="7" s="1"/>
  <c r="Q10" i="7"/>
  <c r="R10" i="7" s="1"/>
  <c r="Q15" i="7"/>
  <c r="R15" i="7" s="1"/>
  <c r="Q84" i="7"/>
  <c r="R84" i="7" s="1"/>
  <c r="Q17" i="7"/>
  <c r="R17" i="7" s="1"/>
  <c r="Q8" i="7"/>
  <c r="R8" i="7" s="1"/>
  <c r="Q90" i="7"/>
  <c r="R90" i="7" s="1"/>
  <c r="Q53" i="7"/>
  <c r="R53" i="7" s="1"/>
  <c r="Q119" i="7"/>
  <c r="R119" i="7" s="1"/>
  <c r="Q61" i="7"/>
  <c r="R61" i="7" s="1"/>
  <c r="Q71" i="7"/>
  <c r="R71" i="7" s="1"/>
  <c r="Q121" i="7"/>
  <c r="R121" i="7" s="1"/>
  <c r="Q75" i="7"/>
  <c r="R75" i="7" s="1"/>
  <c r="Q148" i="7"/>
  <c r="R148" i="7" s="1"/>
  <c r="Q139" i="7"/>
  <c r="R139" i="7" s="1"/>
  <c r="Q60" i="7"/>
  <c r="R60" i="7" s="1"/>
  <c r="Q25" i="7"/>
  <c r="R25" i="7" s="1"/>
  <c r="Q63" i="7"/>
  <c r="R63" i="7" s="1"/>
  <c r="Q4" i="7"/>
  <c r="R4" i="7" s="1"/>
  <c r="Q137" i="7"/>
  <c r="R137" i="7" s="1"/>
  <c r="Q147" i="7"/>
  <c r="R147" i="7" s="1"/>
  <c r="Q111" i="7"/>
  <c r="R111" i="7" s="1"/>
  <c r="Q91" i="7"/>
  <c r="R91" i="7" s="1"/>
  <c r="Q117" i="7"/>
  <c r="R117" i="7" s="1"/>
  <c r="Q13" i="7"/>
  <c r="R13" i="7" s="1"/>
  <c r="Q34" i="7"/>
  <c r="R34" i="7" s="1"/>
  <c r="Q11" i="7"/>
  <c r="R11" i="7" s="1"/>
  <c r="Q6" i="7"/>
  <c r="R6" i="7" s="1"/>
  <c r="Q55" i="7"/>
  <c r="R55" i="7" s="1"/>
  <c r="Q73" i="7"/>
  <c r="R73" i="7" s="1"/>
  <c r="Q35" i="7"/>
  <c r="R35" i="7" s="1"/>
  <c r="Q97" i="7"/>
  <c r="R97" i="7" s="1"/>
  <c r="Q62" i="7"/>
  <c r="R62" i="7" s="1"/>
  <c r="Q82" i="7"/>
  <c r="R82" i="7" s="1"/>
  <c r="Q129" i="7"/>
  <c r="R129" i="7" s="1"/>
  <c r="Q21" i="7"/>
  <c r="R21" i="7" s="1"/>
  <c r="Q68" i="7"/>
  <c r="R68" i="7" s="1"/>
  <c r="Q49" i="7"/>
  <c r="R49" i="7" s="1"/>
  <c r="Q26" i="7"/>
  <c r="R26" i="7" s="1"/>
  <c r="Q115" i="7"/>
  <c r="R115" i="7" s="1"/>
  <c r="Q120" i="7"/>
  <c r="R120" i="7" s="1"/>
  <c r="Q150" i="7"/>
  <c r="R150" i="7" s="1"/>
  <c r="Q57" i="7"/>
  <c r="R57" i="7" s="1"/>
  <c r="Q72" i="7"/>
  <c r="R72" i="7" s="1"/>
  <c r="Q112" i="7"/>
  <c r="R112" i="7" s="1"/>
  <c r="Q144" i="7"/>
  <c r="R144" i="7" s="1"/>
  <c r="Q50" i="7"/>
  <c r="R50" i="7" s="1"/>
  <c r="Q103" i="7"/>
  <c r="R103" i="7" s="1"/>
  <c r="Q64" i="7"/>
  <c r="R64" i="7" s="1"/>
  <c r="Q69" i="7"/>
  <c r="R69" i="7" s="1"/>
  <c r="Q89" i="7"/>
  <c r="R89" i="7" s="1"/>
  <c r="Q105" i="7"/>
  <c r="R105" i="7" s="1"/>
  <c r="Q56" i="7"/>
  <c r="R56" i="7" s="1"/>
  <c r="Q41" i="7"/>
  <c r="R41" i="7" s="1"/>
  <c r="Q98" i="7"/>
  <c r="R98" i="7" s="1"/>
  <c r="Q38" i="7"/>
  <c r="R38" i="7" s="1"/>
  <c r="Q116" i="7"/>
  <c r="R116" i="7" s="1"/>
  <c r="Q65" i="7"/>
  <c r="R65" i="7" s="1"/>
  <c r="Q88" i="7"/>
  <c r="R88" i="7" s="1"/>
  <c r="Q79" i="7"/>
  <c r="R79" i="7" s="1"/>
  <c r="Q20" i="7"/>
  <c r="R20" i="7" s="1"/>
  <c r="Q126" i="7"/>
  <c r="R126" i="7" s="1"/>
  <c r="Q123" i="7"/>
  <c r="R123" i="7" s="1"/>
  <c r="Q40" i="7"/>
  <c r="R40" i="7" s="1"/>
  <c r="Q130" i="7"/>
  <c r="R130" i="7" s="1"/>
  <c r="Q143" i="7"/>
  <c r="R143" i="7" s="1"/>
  <c r="Q87" i="7"/>
  <c r="R87" i="7" s="1"/>
  <c r="Q131" i="7"/>
  <c r="R131" i="7" s="1"/>
  <c r="Q80" i="7"/>
  <c r="R80" i="7" s="1"/>
  <c r="Q135" i="7"/>
  <c r="R135" i="7" s="1"/>
  <c r="Q94" i="7"/>
  <c r="R94" i="7" s="1"/>
  <c r="Q51" i="7"/>
  <c r="R51" i="7" s="1"/>
  <c r="Q127" i="7"/>
  <c r="R127" i="7" s="1"/>
  <c r="Q18" i="7"/>
  <c r="R18" i="7" s="1"/>
  <c r="Q113" i="7"/>
  <c r="R113" i="7" s="1"/>
  <c r="Q145" i="7"/>
  <c r="R145" i="7" s="1"/>
  <c r="Q30" i="7"/>
  <c r="R30" i="7" s="1"/>
  <c r="Q134" i="7"/>
  <c r="R134" i="7" s="1"/>
  <c r="Q118" i="7"/>
  <c r="R118" i="7" s="1"/>
  <c r="Q22" i="7"/>
  <c r="R22" i="7" s="1"/>
  <c r="Q110" i="7"/>
  <c r="R110" i="7" s="1"/>
  <c r="Q67" i="7"/>
  <c r="R67" i="7" s="1"/>
  <c r="Q54" i="7"/>
  <c r="R54" i="7" s="1"/>
  <c r="Q124" i="7"/>
  <c r="R124" i="7" s="1"/>
  <c r="Q128" i="7"/>
  <c r="R128" i="7" s="1"/>
  <c r="Q99" i="7"/>
  <c r="R99" i="7" s="1"/>
  <c r="Q39" i="7"/>
  <c r="R39" i="7" s="1"/>
  <c r="Q48" i="7"/>
  <c r="R48" i="7" s="1"/>
  <c r="Q37" i="7"/>
  <c r="R37" i="7" s="1"/>
  <c r="Q45" i="7"/>
  <c r="R45" i="7" s="1"/>
  <c r="Q102" i="7"/>
  <c r="R102" i="7" s="1"/>
  <c r="Q32" i="7"/>
  <c r="R32" i="7" s="1"/>
  <c r="Q132" i="7"/>
  <c r="R132" i="7" s="1"/>
  <c r="Q100" i="7"/>
  <c r="R100" i="7" s="1"/>
  <c r="Q81" i="7"/>
  <c r="R81" i="7" s="1"/>
  <c r="Q104" i="7"/>
  <c r="R104" i="7" s="1"/>
  <c r="Q76" i="7"/>
  <c r="R76" i="7" s="1"/>
  <c r="Q43" i="7"/>
  <c r="R43" i="7" s="1"/>
  <c r="Q125" i="7"/>
  <c r="R125" i="7" s="1"/>
  <c r="Q24" i="7"/>
  <c r="R24" i="7" s="1"/>
  <c r="Q136" i="7"/>
  <c r="R136" i="7" s="1"/>
  <c r="Q47" i="7"/>
  <c r="R47" i="7" s="1"/>
  <c r="Q133" i="7"/>
  <c r="R133" i="7" s="1"/>
  <c r="Q114" i="7"/>
  <c r="R114" i="7" s="1"/>
  <c r="Q83" i="7"/>
  <c r="R83" i="7" s="1"/>
  <c r="Q140" i="7"/>
  <c r="R140" i="7" s="1"/>
  <c r="Q78" i="7"/>
  <c r="R78" i="7" s="1"/>
  <c r="Q9" i="7"/>
  <c r="R9" i="7" s="1"/>
  <c r="Q19" i="7"/>
  <c r="R19" i="7" s="1"/>
  <c r="Q141" i="7"/>
  <c r="R141" i="7" s="1"/>
  <c r="Q106" i="7"/>
  <c r="R106" i="7" s="1"/>
  <c r="Q12" i="7"/>
  <c r="R12" i="7" s="1"/>
  <c r="Q66" i="7"/>
  <c r="R66" i="7" s="1"/>
  <c r="Q93" i="7"/>
  <c r="R93" i="7" s="1"/>
  <c r="Q142" i="7"/>
  <c r="R142" i="7" s="1"/>
  <c r="Q77" i="7"/>
  <c r="R77" i="7" s="1"/>
  <c r="Q58" i="7"/>
  <c r="R58" i="7" s="1"/>
  <c r="Q7" i="7"/>
  <c r="R7" i="7" s="1"/>
  <c r="Q27" i="7"/>
  <c r="R27" i="7" s="1"/>
  <c r="Q96" i="7"/>
  <c r="R96" i="7" s="1"/>
  <c r="Q108" i="7"/>
  <c r="R108" i="7" s="1"/>
  <c r="Q14" i="7"/>
  <c r="R14" i="7" s="1"/>
  <c r="Q92" i="7"/>
  <c r="R92" i="7" s="1"/>
  <c r="Q29" i="7"/>
  <c r="R29" i="7" s="1"/>
  <c r="Q16" i="7"/>
  <c r="R16" i="7" s="1"/>
  <c r="Q42" i="7"/>
  <c r="R42" i="7" s="1"/>
  <c r="Q85" i="7"/>
  <c r="R85" i="7" s="1"/>
  <c r="Q146" i="7"/>
  <c r="R146" i="7" s="1"/>
  <c r="Q44" i="7"/>
  <c r="R44" i="7" s="1"/>
  <c r="Q107" i="7"/>
  <c r="R107" i="7" s="1"/>
  <c r="Q5" i="7"/>
  <c r="R5" i="7" s="1"/>
  <c r="Q31" i="7"/>
  <c r="R31" i="7" s="1"/>
  <c r="Q101" i="7"/>
  <c r="R101" i="7" s="1"/>
  <c r="Q28" i="7"/>
  <c r="R28" i="7" s="1"/>
  <c r="Q138" i="7"/>
  <c r="R138" i="7" s="1"/>
  <c r="Q59" i="7"/>
  <c r="R59" i="7" s="1"/>
  <c r="Q122" i="7"/>
  <c r="R122" i="7" s="1"/>
  <c r="Q86" i="7"/>
  <c r="R86" i="7" s="1"/>
  <c r="Q46" i="7"/>
  <c r="R46" i="7" s="1"/>
  <c r="F4" i="7" a="1"/>
  <c r="F72" i="7"/>
  <c r="F80" i="7"/>
  <c r="F73" i="7"/>
  <c r="F129" i="7"/>
  <c r="F145" i="7"/>
  <c r="F33" i="7"/>
  <c r="F34" i="7"/>
  <c r="F132" i="7"/>
  <c r="F30" i="7"/>
  <c r="F64" i="7"/>
  <c r="F89" i="7"/>
  <c r="F46" i="7"/>
  <c r="F87" i="7"/>
  <c r="F7" i="7"/>
  <c r="F74" i="7"/>
  <c r="F36" i="7"/>
  <c r="F32" i="7"/>
  <c r="F52" i="7"/>
  <c r="F78" i="7"/>
  <c r="F107" i="7"/>
  <c r="F133" i="7"/>
  <c r="F13" i="7"/>
  <c r="F35" i="7"/>
  <c r="F17" i="7"/>
  <c r="F117" i="7"/>
  <c r="F142" i="7"/>
  <c r="F116" i="7"/>
  <c r="F140" i="7"/>
  <c r="F14" i="7"/>
  <c r="F88" i="7"/>
  <c r="F38" i="7"/>
  <c r="F93" i="7"/>
  <c r="F85" i="7"/>
  <c r="F19" i="7"/>
  <c r="F37" i="7"/>
  <c r="F53" i="7"/>
  <c r="F82" i="7"/>
  <c r="F97" i="7"/>
  <c r="F114" i="7"/>
  <c r="F106" i="7"/>
  <c r="F15" i="7"/>
  <c r="F84" i="7"/>
  <c r="F51" i="7"/>
  <c r="F20" i="7"/>
  <c r="F12" i="7"/>
  <c r="F128" i="7"/>
  <c r="F135" i="7"/>
  <c r="F39" i="7"/>
  <c r="F79" i="7"/>
  <c r="F104" i="7"/>
  <c r="F61" i="7"/>
  <c r="F138" i="7"/>
  <c r="F130" i="7"/>
  <c r="F94" i="7"/>
  <c r="F105" i="7"/>
  <c r="F92" i="7"/>
  <c r="F41" i="7"/>
  <c r="F24" i="7"/>
  <c r="F23" i="7"/>
  <c r="F10" i="7"/>
  <c r="F75" i="7"/>
  <c r="F96" i="7"/>
  <c r="F68" i="7"/>
  <c r="F123" i="7"/>
  <c r="F81" i="7"/>
  <c r="F56" i="7"/>
  <c r="F146" i="7"/>
  <c r="F29" i="7"/>
  <c r="F66" i="7"/>
  <c r="F5" i="7"/>
  <c r="F76" i="7"/>
  <c r="F70" i="7"/>
  <c r="F139" i="7"/>
  <c r="F50" i="7"/>
  <c r="F40" i="7"/>
  <c r="F108" i="7"/>
  <c r="F8" i="7"/>
  <c r="F58" i="7"/>
  <c r="F25" i="7"/>
  <c r="F143" i="7"/>
  <c r="F144" i="7"/>
  <c r="F136" i="7"/>
  <c r="F47" i="7"/>
  <c r="F16" i="7"/>
  <c r="F149" i="7"/>
  <c r="F69" i="7"/>
  <c r="F124" i="7"/>
  <c r="F9" i="7"/>
  <c r="F49" i="7"/>
  <c r="F91" i="7"/>
  <c r="F98" i="7"/>
  <c r="F63" i="7"/>
  <c r="F45" i="7"/>
  <c r="F60" i="7"/>
  <c r="F134" i="7"/>
  <c r="F21" i="7"/>
  <c r="F127" i="7"/>
  <c r="F120" i="7"/>
  <c r="F95" i="7"/>
  <c r="F26" i="7"/>
  <c r="F141" i="7"/>
  <c r="F125" i="7"/>
  <c r="F121" i="7"/>
  <c r="F131" i="7"/>
  <c r="F44" i="7"/>
  <c r="F111" i="7"/>
  <c r="F6" i="7"/>
  <c r="F109" i="7"/>
  <c r="F148" i="7"/>
  <c r="F119" i="7"/>
  <c r="F27" i="7"/>
  <c r="F42" i="7"/>
  <c r="F103" i="7"/>
  <c r="F137" i="7"/>
  <c r="F110" i="7"/>
  <c r="F55" i="7"/>
  <c r="F22" i="7"/>
  <c r="F83" i="7"/>
  <c r="F62" i="7"/>
  <c r="F115" i="7"/>
  <c r="F31" i="7"/>
  <c r="F99" i="7"/>
  <c r="F57" i="7"/>
  <c r="F150" i="7"/>
  <c r="F126" i="7"/>
  <c r="F4" i="7"/>
  <c r="F54" i="7"/>
  <c r="F65" i="7"/>
  <c r="F147" i="7"/>
  <c r="F112" i="7"/>
  <c r="F102" i="7"/>
  <c r="F122" i="7"/>
  <c r="F48" i="7"/>
  <c r="F67" i="7"/>
  <c r="F90" i="7"/>
  <c r="F86" i="7"/>
  <c r="F77" i="7"/>
  <c r="F71" i="7"/>
  <c r="F100" i="7"/>
  <c r="F18" i="7"/>
  <c r="F11" i="7"/>
  <c r="F59" i="7"/>
  <c r="F101" i="7"/>
  <c r="F28" i="7"/>
  <c r="F113" i="7"/>
  <c r="F43" i="7"/>
  <c r="F118" i="7"/>
  <c r="I8" i="7"/>
  <c r="I105" i="7"/>
  <c r="I140" i="7"/>
  <c r="I37" i="7"/>
  <c r="I33" i="7"/>
  <c r="I132" i="7"/>
  <c r="I46" i="7"/>
  <c r="I101" i="7"/>
  <c r="I42" i="7"/>
  <c r="I127" i="7"/>
  <c r="I112" i="7"/>
  <c r="K132" i="7"/>
  <c r="I32" i="7"/>
  <c r="I62" i="7"/>
  <c r="I136" i="7"/>
  <c r="I40" i="7"/>
  <c r="I135" i="7"/>
  <c r="I133" i="7"/>
  <c r="I34" i="7"/>
  <c r="I84" i="7"/>
  <c r="I109" i="7"/>
  <c r="I44" i="7"/>
  <c r="I128" i="7"/>
  <c r="I67" i="7"/>
  <c r="I85" i="7"/>
  <c r="I79" i="7"/>
  <c r="I55" i="7"/>
  <c r="I18" i="7"/>
  <c r="I137" i="7"/>
  <c r="I93" i="7"/>
  <c r="I97" i="7"/>
  <c r="I24" i="7"/>
  <c r="I129" i="7"/>
  <c r="I95" i="7"/>
  <c r="I115" i="7"/>
  <c r="I11" i="7"/>
  <c r="I58" i="7"/>
  <c r="I16" i="7"/>
  <c r="K16" i="7"/>
  <c r="I80" i="7"/>
  <c r="K46" i="7"/>
  <c r="I63" i="7"/>
  <c r="K63" i="7"/>
  <c r="I31" i="7"/>
  <c r="I116" i="7"/>
  <c r="I39" i="7"/>
  <c r="I19" i="7"/>
  <c r="I134" i="7"/>
  <c r="I49" i="7"/>
  <c r="K11" i="7"/>
  <c r="I17" i="7"/>
  <c r="K116" i="7"/>
  <c r="I77" i="7"/>
  <c r="K33" i="7"/>
  <c r="I23" i="7"/>
  <c r="I113" i="7"/>
  <c r="I4" i="7"/>
  <c r="I54" i="7"/>
  <c r="K17" i="7"/>
  <c r="K101" i="7"/>
  <c r="I45" i="7"/>
  <c r="K45" i="7"/>
  <c r="I5" i="7"/>
  <c r="K5" i="7"/>
  <c r="I50" i="7"/>
  <c r="I149" i="7"/>
  <c r="K105" i="7"/>
  <c r="I106" i="7"/>
  <c r="K106" i="7"/>
  <c r="I98" i="7"/>
  <c r="I14" i="7"/>
  <c r="I89" i="7"/>
  <c r="I147" i="7"/>
  <c r="I43" i="7"/>
  <c r="K43" i="7"/>
  <c r="K97" i="7"/>
  <c r="I96" i="7"/>
  <c r="K137" i="7"/>
  <c r="I78" i="7"/>
  <c r="K4" i="7"/>
  <c r="I6" i="7"/>
  <c r="K136" i="7"/>
  <c r="K40" i="7"/>
  <c r="I21" i="7"/>
  <c r="I73" i="7"/>
  <c r="I130" i="7"/>
  <c r="K95" i="7"/>
  <c r="I69" i="7"/>
  <c r="I48" i="7"/>
  <c r="I100" i="7"/>
  <c r="I142" i="7"/>
  <c r="K142" i="7"/>
  <c r="I104" i="7"/>
  <c r="I65" i="7"/>
  <c r="I123" i="7"/>
  <c r="I13" i="7"/>
  <c r="I7" i="7"/>
  <c r="K7" i="7"/>
  <c r="K18" i="7"/>
  <c r="I126" i="7"/>
  <c r="K126" i="7"/>
  <c r="I36" i="7"/>
  <c r="K36" i="7"/>
  <c r="I145" i="7"/>
  <c r="I68" i="7"/>
  <c r="K19" i="7"/>
  <c r="I35" i="7"/>
  <c r="I103" i="7"/>
  <c r="K103" i="7"/>
  <c r="I64" i="7"/>
  <c r="K64" i="7"/>
  <c r="I146" i="7"/>
  <c r="I61" i="7"/>
  <c r="K61" i="7"/>
  <c r="I41" i="7"/>
  <c r="I99" i="7"/>
  <c r="I92" i="7"/>
  <c r="I51" i="7"/>
  <c r="K51" i="7"/>
  <c r="K8" i="7"/>
  <c r="K50" i="7"/>
  <c r="I30" i="7"/>
  <c r="K30" i="7"/>
  <c r="I60" i="7"/>
  <c r="I83" i="7"/>
  <c r="K83" i="7"/>
  <c r="I70" i="7"/>
  <c r="K70" i="7"/>
  <c r="I74" i="7"/>
  <c r="K74" i="7"/>
  <c r="I76" i="7"/>
  <c r="K140" i="7"/>
  <c r="I12" i="7"/>
  <c r="K128" i="7"/>
  <c r="K109" i="7"/>
  <c r="I20" i="7"/>
  <c r="K20" i="7"/>
  <c r="I88" i="7"/>
  <c r="K88" i="7"/>
  <c r="K39" i="7"/>
  <c r="I9" i="7"/>
  <c r="K9" i="7"/>
  <c r="I10" i="7"/>
  <c r="K10" i="7"/>
  <c r="I124" i="7"/>
  <c r="I71" i="7"/>
  <c r="I108" i="7"/>
  <c r="K134" i="7"/>
  <c r="I75" i="7"/>
  <c r="K75" i="7"/>
  <c r="I26" i="7"/>
  <c r="K26" i="7"/>
  <c r="K113" i="7"/>
  <c r="I91" i="7"/>
  <c r="I150" i="7"/>
  <c r="I121" i="7"/>
  <c r="I117" i="7"/>
  <c r="K117" i="7"/>
  <c r="I131" i="7"/>
  <c r="K131" i="7"/>
  <c r="K69" i="7"/>
  <c r="I57" i="7"/>
  <c r="I148" i="7"/>
  <c r="I87" i="7"/>
  <c r="K87" i="7"/>
  <c r="K91" i="7"/>
  <c r="K13" i="7"/>
  <c r="I86" i="7"/>
  <c r="K150" i="7"/>
  <c r="I94" i="7"/>
  <c r="K94" i="7"/>
  <c r="I15" i="7"/>
  <c r="K15" i="7"/>
  <c r="I47" i="7"/>
  <c r="K47" i="7"/>
  <c r="I122" i="7"/>
  <c r="I119" i="7"/>
  <c r="I29" i="7"/>
  <c r="K29" i="7"/>
  <c r="I139" i="7"/>
  <c r="I111" i="7"/>
  <c r="K111" i="7"/>
  <c r="I90" i="7"/>
  <c r="K90" i="7"/>
  <c r="I25" i="7"/>
  <c r="I102" i="7"/>
  <c r="I82" i="7"/>
  <c r="K147" i="7"/>
  <c r="I118" i="7"/>
  <c r="I110" i="7"/>
  <c r="K110" i="7"/>
  <c r="K146" i="7"/>
  <c r="I28" i="7"/>
  <c r="I52" i="7"/>
  <c r="K68" i="7"/>
  <c r="I125" i="7"/>
  <c r="I138" i="7"/>
  <c r="I107" i="7"/>
  <c r="I144" i="7"/>
  <c r="K144" i="7"/>
  <c r="I143" i="7"/>
  <c r="K143" i="7"/>
  <c r="I27" i="7"/>
  <c r="I38" i="7"/>
  <c r="K38" i="7"/>
  <c r="I66" i="7"/>
  <c r="K27" i="7"/>
  <c r="K104" i="7"/>
  <c r="I141" i="7"/>
  <c r="I56" i="7"/>
  <c r="I114" i="7"/>
  <c r="K114" i="7"/>
  <c r="K148" i="7"/>
  <c r="I59" i="7"/>
  <c r="K59" i="7"/>
  <c r="I81" i="7"/>
  <c r="K81" i="7"/>
  <c r="I22" i="7"/>
  <c r="K54" i="7"/>
  <c r="I53" i="7"/>
  <c r="K53" i="7"/>
  <c r="K92" i="7"/>
  <c r="I72" i="7"/>
  <c r="I120" i="7"/>
  <c r="G4" i="7"/>
  <c r="G77" i="7"/>
  <c r="G31" i="7"/>
  <c r="G44" i="7"/>
  <c r="G49" i="7"/>
  <c r="G139" i="7"/>
  <c r="G65" i="7"/>
  <c r="G119" i="7"/>
  <c r="G60" i="7"/>
  <c r="G58" i="7"/>
  <c r="G96" i="7"/>
  <c r="G46" i="7"/>
  <c r="G61" i="7"/>
  <c r="G84" i="7"/>
  <c r="G129" i="7"/>
  <c r="G88" i="7"/>
  <c r="G128" i="7"/>
  <c r="G67" i="7"/>
  <c r="G145" i="7"/>
  <c r="G92" i="7"/>
  <c r="G90" i="7"/>
  <c r="G62" i="7"/>
  <c r="G121" i="7"/>
  <c r="G124" i="7"/>
  <c r="G76" i="7"/>
  <c r="G150" i="7"/>
  <c r="G109" i="7"/>
  <c r="G63" i="7"/>
  <c r="G108" i="7"/>
  <c r="G10" i="7"/>
  <c r="G33" i="7"/>
  <c r="G79" i="7"/>
  <c r="G82" i="7"/>
  <c r="G43" i="7"/>
  <c r="G140" i="7"/>
  <c r="G38" i="7"/>
  <c r="G78" i="7"/>
  <c r="G73" i="7"/>
  <c r="G106" i="7"/>
  <c r="G48" i="7"/>
  <c r="G22" i="7"/>
  <c r="G141" i="7"/>
  <c r="G149" i="7"/>
  <c r="G66" i="7"/>
  <c r="G99" i="7"/>
  <c r="G111" i="7"/>
  <c r="G91" i="7"/>
  <c r="G50" i="7"/>
  <c r="G24" i="7"/>
  <c r="G59" i="7"/>
  <c r="G135" i="7"/>
  <c r="G85" i="7"/>
  <c r="G71" i="7"/>
  <c r="G142" i="7"/>
  <c r="G117" i="7"/>
  <c r="G32" i="7"/>
  <c r="G72" i="7"/>
  <c r="G118" i="7"/>
  <c r="G102" i="7"/>
  <c r="G110" i="7"/>
  <c r="G95" i="7"/>
  <c r="G47" i="7"/>
  <c r="G146" i="7"/>
  <c r="G115" i="7"/>
  <c r="G131" i="7"/>
  <c r="G9" i="7"/>
  <c r="G70" i="7"/>
  <c r="G138" i="7"/>
  <c r="G86" i="7"/>
  <c r="G12" i="7"/>
  <c r="G14" i="7"/>
  <c r="G112" i="7"/>
  <c r="G17" i="7"/>
  <c r="G36" i="7"/>
  <c r="G74" i="7"/>
  <c r="G113" i="7"/>
  <c r="G147" i="7"/>
  <c r="G103" i="7"/>
  <c r="G127" i="7"/>
  <c r="G144" i="7"/>
  <c r="G81" i="7"/>
  <c r="G83" i="7"/>
  <c r="G125" i="7"/>
  <c r="G69" i="7"/>
  <c r="G5" i="7"/>
  <c r="G20" i="7"/>
  <c r="G122" i="7"/>
  <c r="G51" i="7"/>
  <c r="G116" i="7"/>
  <c r="G97" i="7"/>
  <c r="G13" i="7"/>
  <c r="G64" i="7"/>
  <c r="G87" i="7"/>
  <c r="G101" i="7"/>
  <c r="G54" i="7"/>
  <c r="G27" i="7"/>
  <c r="G134" i="7"/>
  <c r="G25" i="7"/>
  <c r="G68" i="7"/>
  <c r="G55" i="7"/>
  <c r="G26" i="7"/>
  <c r="G16" i="7"/>
  <c r="G29" i="7"/>
  <c r="G37" i="7"/>
  <c r="G41" i="7"/>
  <c r="G15" i="7"/>
  <c r="G133" i="7"/>
  <c r="G53" i="7"/>
  <c r="G107" i="7"/>
  <c r="G80" i="7"/>
  <c r="G89" i="7"/>
  <c r="G11" i="7"/>
  <c r="G126" i="7"/>
  <c r="G148" i="7"/>
  <c r="G45" i="7"/>
  <c r="G8" i="7"/>
  <c r="G75" i="7"/>
  <c r="G137" i="7"/>
  <c r="G120" i="7"/>
  <c r="G136" i="7"/>
  <c r="G56" i="7"/>
  <c r="G35" i="7"/>
  <c r="G105" i="7"/>
  <c r="G114" i="7"/>
  <c r="G7" i="7"/>
  <c r="G19" i="7"/>
  <c r="G94" i="7"/>
  <c r="G28" i="7"/>
  <c r="G30" i="7"/>
  <c r="G100" i="7"/>
  <c r="G57" i="7"/>
  <c r="G6" i="7"/>
  <c r="G98" i="7"/>
  <c r="G40" i="7"/>
  <c r="G23" i="7"/>
  <c r="G42" i="7"/>
  <c r="G21" i="7"/>
  <c r="G143" i="7"/>
  <c r="G123" i="7"/>
  <c r="G52" i="7"/>
  <c r="G130" i="7"/>
  <c r="G104" i="7"/>
  <c r="G132" i="7"/>
  <c r="G93" i="7"/>
  <c r="G39" i="7"/>
  <c r="G18" i="7"/>
  <c r="G34" i="7"/>
  <c r="K120" i="7"/>
  <c r="K125" i="7"/>
  <c r="K119" i="7"/>
  <c r="K12" i="7"/>
  <c r="K65" i="7"/>
  <c r="K96" i="7"/>
  <c r="K31" i="7"/>
  <c r="K79" i="7"/>
  <c r="K62" i="7"/>
  <c r="L142" i="7"/>
  <c r="L99" i="7"/>
  <c r="J99" i="7"/>
  <c r="J52" i="7"/>
  <c r="L139" i="7"/>
  <c r="J14" i="7"/>
  <c r="L109" i="7"/>
  <c r="J112" i="7"/>
  <c r="L33" i="7"/>
  <c r="L122" i="7"/>
  <c r="J110" i="7"/>
  <c r="L146" i="7"/>
  <c r="L113" i="7"/>
  <c r="J42" i="7"/>
  <c r="J87" i="7"/>
  <c r="L133" i="7"/>
  <c r="L31" i="7"/>
  <c r="L138" i="7"/>
  <c r="J66" i="7"/>
  <c r="L130" i="7"/>
  <c r="J32" i="7"/>
  <c r="J129" i="7"/>
  <c r="L50" i="7"/>
  <c r="J113" i="7"/>
  <c r="L85" i="7"/>
  <c r="L29" i="7"/>
  <c r="J50" i="7"/>
  <c r="J55" i="7"/>
  <c r="L102" i="7"/>
  <c r="L49" i="7"/>
  <c r="J67" i="7"/>
  <c r="J128" i="7"/>
  <c r="L20" i="7"/>
  <c r="L131" i="7"/>
  <c r="L116" i="7"/>
  <c r="J98" i="7"/>
  <c r="L69" i="7"/>
  <c r="J58" i="7"/>
  <c r="J12" i="7"/>
  <c r="J148" i="7"/>
  <c r="L81" i="7"/>
  <c r="J97" i="7"/>
  <c r="L9" i="7"/>
  <c r="J121" i="7"/>
  <c r="L39" i="7"/>
  <c r="L15" i="7"/>
  <c r="L141" i="7"/>
  <c r="L21" i="7"/>
  <c r="L55" i="7"/>
  <c r="J31" i="7"/>
  <c r="L88" i="7"/>
  <c r="J93" i="7"/>
  <c r="L24" i="7"/>
  <c r="J45" i="7"/>
  <c r="L65" i="7"/>
  <c r="J127" i="7"/>
  <c r="J90" i="7"/>
  <c r="L27" i="7"/>
  <c r="J142" i="7"/>
  <c r="L96" i="7"/>
  <c r="L91" i="7"/>
  <c r="L150" i="7"/>
  <c r="K130" i="7"/>
  <c r="K44" i="7"/>
  <c r="K127" i="7"/>
  <c r="L84" i="7"/>
  <c r="J138" i="7"/>
  <c r="L68" i="7"/>
  <c r="J68" i="7"/>
  <c r="L80" i="7"/>
  <c r="L101" i="7"/>
  <c r="J41" i="7"/>
  <c r="J134" i="7"/>
  <c r="J115" i="7"/>
  <c r="L53" i="7"/>
  <c r="L47" i="7"/>
  <c r="J145" i="7"/>
  <c r="J149" i="7"/>
  <c r="K121" i="7"/>
  <c r="K41" i="7"/>
  <c r="K129" i="7"/>
  <c r="L112" i="7"/>
  <c r="J83" i="7"/>
  <c r="L74" i="7"/>
  <c r="L82" i="7"/>
  <c r="L18" i="7"/>
  <c r="L105" i="7"/>
  <c r="J33" i="7"/>
  <c r="J107" i="7"/>
  <c r="J53" i="7"/>
  <c r="J36" i="7"/>
  <c r="J44" i="7"/>
  <c r="J9" i="7"/>
  <c r="K102" i="7"/>
  <c r="K23" i="7"/>
  <c r="K34" i="7"/>
  <c r="L78" i="7"/>
  <c r="L86" i="7"/>
  <c r="J51" i="7"/>
  <c r="L140" i="7"/>
  <c r="L40" i="7"/>
  <c r="J28" i="7"/>
  <c r="J118" i="7"/>
  <c r="L145" i="7"/>
  <c r="J96" i="7"/>
  <c r="J8" i="7"/>
  <c r="J70" i="7"/>
  <c r="J10" i="7"/>
  <c r="K107" i="7"/>
  <c r="K93" i="7"/>
  <c r="L135" i="7"/>
  <c r="J13" i="7"/>
  <c r="L87" i="7"/>
  <c r="L46" i="7"/>
  <c r="L54" i="7"/>
  <c r="L14" i="7"/>
  <c r="J77" i="7"/>
  <c r="J141" i="7"/>
  <c r="K72" i="7"/>
  <c r="K52" i="7"/>
  <c r="K122" i="7"/>
  <c r="K76" i="7"/>
  <c r="K100" i="7"/>
  <c r="K89" i="7"/>
  <c r="K80" i="7"/>
  <c r="K85" i="7"/>
  <c r="K32" i="7"/>
  <c r="L22" i="7"/>
  <c r="L134" i="7"/>
  <c r="J102" i="7"/>
  <c r="L32" i="7"/>
  <c r="L73" i="7"/>
  <c r="L75" i="7"/>
  <c r="L4" i="7"/>
  <c r="J94" i="7"/>
  <c r="J62" i="7"/>
  <c r="J81" i="7"/>
  <c r="J63" i="7"/>
  <c r="J136" i="7"/>
  <c r="L64" i="7"/>
  <c r="L123" i="7"/>
  <c r="J106" i="7"/>
  <c r="L41" i="7"/>
  <c r="L92" i="7"/>
  <c r="L58" i="7"/>
  <c r="L128" i="7"/>
  <c r="J47" i="7"/>
  <c r="L5" i="7"/>
  <c r="K99" i="7"/>
  <c r="J65" i="7"/>
  <c r="J11" i="7"/>
  <c r="J146" i="7"/>
  <c r="L103" i="7"/>
  <c r="J123" i="7"/>
  <c r="J54" i="7"/>
  <c r="L100" i="7"/>
  <c r="L121" i="7"/>
  <c r="L136" i="7"/>
  <c r="L79" i="7"/>
  <c r="K82" i="7"/>
  <c r="K73" i="7"/>
  <c r="K42" i="7"/>
  <c r="L44" i="7"/>
  <c r="J5" i="7"/>
  <c r="L60" i="7"/>
  <c r="L19" i="7"/>
  <c r="L111" i="7"/>
  <c r="J69" i="7"/>
  <c r="J23" i="7"/>
  <c r="L37" i="7"/>
  <c r="J43" i="7"/>
  <c r="L66" i="7"/>
  <c r="J72" i="7"/>
  <c r="J76" i="7"/>
  <c r="K35" i="7"/>
  <c r="J92" i="7"/>
  <c r="J108" i="7"/>
  <c r="L38" i="7"/>
  <c r="J57" i="7"/>
  <c r="L149" i="7"/>
  <c r="L48" i="7"/>
  <c r="L126" i="7"/>
  <c r="J111" i="7"/>
  <c r="L94" i="7"/>
  <c r="J144" i="7"/>
  <c r="K71" i="7"/>
  <c r="K133" i="7"/>
  <c r="L144" i="7"/>
  <c r="J73" i="7"/>
  <c r="J100" i="7"/>
  <c r="J78" i="7"/>
  <c r="L90" i="7"/>
  <c r="L95" i="7"/>
  <c r="L117" i="7"/>
  <c r="K22" i="7"/>
  <c r="K28" i="7"/>
  <c r="K86" i="7"/>
  <c r="K60" i="7"/>
  <c r="K48" i="7"/>
  <c r="K14" i="7"/>
  <c r="K58" i="7"/>
  <c r="K67" i="7"/>
  <c r="K112" i="7"/>
  <c r="L45" i="7"/>
  <c r="L23" i="7"/>
  <c r="L56" i="7"/>
  <c r="J21" i="7"/>
  <c r="J109" i="7"/>
  <c r="L147" i="7"/>
  <c r="J25" i="7"/>
  <c r="L16" i="7"/>
  <c r="J84" i="7"/>
  <c r="J61" i="7"/>
  <c r="L67" i="7"/>
  <c r="J6" i="7"/>
  <c r="J74" i="7"/>
  <c r="L107" i="7"/>
  <c r="L72" i="7"/>
  <c r="J80" i="7"/>
  <c r="L35" i="7"/>
  <c r="J91" i="7"/>
  <c r="L7" i="7"/>
  <c r="J20" i="7"/>
  <c r="L59" i="7"/>
  <c r="L110" i="7"/>
  <c r="J132" i="7"/>
  <c r="L42" i="7"/>
  <c r="J79" i="7"/>
  <c r="J150" i="7"/>
  <c r="L77" i="7"/>
  <c r="K115" i="7"/>
  <c r="L26" i="7"/>
  <c r="J59" i="7"/>
  <c r="L106" i="7"/>
  <c r="L13" i="7"/>
  <c r="J120" i="7"/>
  <c r="J119" i="7"/>
  <c r="L17" i="7"/>
  <c r="L70" i="7"/>
  <c r="J105" i="7"/>
  <c r="J49" i="7"/>
  <c r="J135" i="7"/>
  <c r="J15" i="7"/>
  <c r="L34" i="7"/>
  <c r="K141" i="7"/>
  <c r="K149" i="7"/>
  <c r="K84" i="7"/>
  <c r="J131" i="7"/>
  <c r="J60" i="7"/>
  <c r="J122" i="7"/>
  <c r="J64" i="7"/>
  <c r="J130" i="7"/>
  <c r="L57" i="7"/>
  <c r="L148" i="7"/>
  <c r="L89" i="7"/>
  <c r="L127" i="7"/>
  <c r="L30" i="7"/>
  <c r="J39" i="7"/>
  <c r="K66" i="7"/>
  <c r="K24" i="7"/>
  <c r="K37" i="7"/>
  <c r="L115" i="7"/>
  <c r="J125" i="7"/>
  <c r="L118" i="7"/>
  <c r="J40" i="7"/>
  <c r="L132" i="7"/>
  <c r="J137" i="7"/>
  <c r="J139" i="7"/>
  <c r="L25" i="7"/>
  <c r="J103" i="7"/>
  <c r="K25" i="7"/>
  <c r="K77" i="7"/>
  <c r="J38" i="7"/>
  <c r="J124" i="7"/>
  <c r="J75" i="7"/>
  <c r="J56" i="7"/>
  <c r="J16" i="7"/>
  <c r="J7" i="7"/>
  <c r="J101" i="7"/>
  <c r="K56" i="7"/>
  <c r="K118" i="7"/>
  <c r="K57" i="7"/>
  <c r="K98" i="7"/>
  <c r="J140" i="7"/>
  <c r="K108" i="7"/>
  <c r="J4" i="7"/>
  <c r="L98" i="7"/>
  <c r="L43" i="7"/>
  <c r="K6" i="7"/>
  <c r="L10" i="7"/>
  <c r="L114" i="7"/>
  <c r="J104" i="7"/>
  <c r="L125" i="7"/>
  <c r="K21" i="7"/>
  <c r="J27" i="7"/>
  <c r="L52" i="7"/>
  <c r="L8" i="7"/>
  <c r="K145" i="7"/>
  <c r="J29" i="7"/>
  <c r="L97" i="7"/>
  <c r="J46" i="7"/>
  <c r="K138" i="7"/>
  <c r="J126" i="7"/>
  <c r="J133" i="7"/>
  <c r="L137" i="7"/>
  <c r="L120" i="7"/>
  <c r="L93" i="7"/>
  <c r="J143" i="7"/>
  <c r="K139" i="7"/>
  <c r="L71" i="7"/>
  <c r="J48" i="7"/>
  <c r="J95" i="7"/>
  <c r="L76" i="7"/>
  <c r="L104" i="7"/>
  <c r="K124" i="7"/>
  <c r="J24" i="7"/>
  <c r="L51" i="7"/>
  <c r="J117" i="7"/>
  <c r="J88" i="7"/>
  <c r="J35" i="7"/>
  <c r="K123" i="7"/>
  <c r="L83" i="7"/>
  <c r="L11" i="7"/>
  <c r="L12" i="7"/>
  <c r="L143" i="7"/>
  <c r="J89" i="7"/>
  <c r="J17" i="7"/>
  <c r="K78" i="7"/>
  <c r="L108" i="7"/>
  <c r="J82" i="7"/>
  <c r="J85" i="7"/>
  <c r="L36" i="7"/>
  <c r="J86" i="7"/>
  <c r="J147" i="7"/>
  <c r="K49" i="7"/>
  <c r="J26" i="7"/>
  <c r="J71" i="7"/>
  <c r="J116" i="7"/>
  <c r="J114" i="7"/>
  <c r="J37" i="7"/>
  <c r="L129" i="7"/>
  <c r="K55" i="7"/>
  <c r="J19" i="7"/>
  <c r="L61" i="7"/>
  <c r="J30" i="7"/>
  <c r="L119" i="7"/>
  <c r="L6" i="7"/>
  <c r="K135" i="7"/>
  <c r="L63" i="7"/>
  <c r="J18" i="7"/>
  <c r="L28" i="7"/>
  <c r="L62" i="7"/>
  <c r="L124" i="7"/>
  <c r="J34" i="7"/>
  <c r="J22" i="7"/>
</calcChain>
</file>

<file path=xl/comments1.xml><?xml version="1.0" encoding="utf-8"?>
<comments xmlns="http://schemas.openxmlformats.org/spreadsheetml/2006/main">
  <authors>
    <author>AMETRANO FERDINANDO MARIA</author>
  </authors>
  <commentList>
    <comment ref="B12" authorId="0">
      <text>
        <r>
          <rPr>
            <b/>
            <sz val="8"/>
            <color indexed="81"/>
            <rFont val="Tahoma"/>
            <family val="2"/>
          </rPr>
          <t>bond for repring column</t>
        </r>
      </text>
    </comment>
  </commentList>
</comments>
</file>

<file path=xl/comments2.xml><?xml version="1.0" encoding="utf-8"?>
<comments xmlns="http://schemas.openxmlformats.org/spreadsheetml/2006/main">
  <authors>
    <author>AMETRANO FERDINANDO MARIA</author>
  </authors>
  <commentList>
    <comment ref="S1" authorId="0">
      <text>
        <r>
          <rPr>
            <b/>
            <sz val="8"/>
            <color indexed="81"/>
            <rFont val="Tahoma"/>
            <family val="2"/>
          </rPr>
          <t>insert DTSIMI2 / Mx contribution password here</t>
        </r>
      </text>
    </comment>
    <comment ref="V1" authorId="0">
      <text>
        <r>
          <rPr>
            <b/>
            <sz val="8"/>
            <color indexed="81"/>
            <rFont val="Tahoma"/>
            <family val="2"/>
          </rPr>
          <t>insert ION / Bloomberg contribution password here</t>
        </r>
      </text>
    </comment>
  </commentList>
</comments>
</file>

<file path=xl/comments3.xml><?xml version="1.0" encoding="utf-8"?>
<comments xmlns="http://schemas.openxmlformats.org/spreadsheetml/2006/main">
  <authors>
    <author>AMETRANO FERDINANDO MARIA</author>
  </authors>
  <commentList>
    <comment ref="C7" authorId="0">
      <text>
        <r>
          <rPr>
            <sz val="8"/>
            <color indexed="81"/>
            <rFont val="Tahoma"/>
            <family val="2"/>
          </rPr>
          <t>Bond description string. Autogenerated if null</t>
        </r>
      </text>
    </comment>
    <comment ref="C8" authorId="0">
      <text>
        <r>
          <rPr>
            <sz val="8"/>
            <color indexed="81"/>
            <rFont val="Tahoma"/>
            <family val="2"/>
          </rPr>
          <t>bond Currency.</t>
        </r>
      </text>
    </comment>
    <comment ref="C9" authorId="0">
      <text>
        <r>
          <rPr>
            <sz val="8"/>
            <color indexed="81"/>
            <rFont val="Tahoma"/>
            <family val="2"/>
          </rPr>
          <t>settlement days.</t>
        </r>
      </text>
    </comment>
    <comment ref="C10" authorId="0">
      <text>
        <r>
          <rPr>
            <sz val="8"/>
            <color indexed="81"/>
            <rFont val="Tahoma"/>
            <family val="2"/>
          </rPr>
          <t>payment business day convention.</t>
        </r>
      </text>
    </comment>
    <comment ref="C11" authorId="0">
      <text>
        <r>
          <rPr>
            <sz val="8"/>
            <color indexed="81"/>
            <rFont val="Tahoma"/>
            <family val="2"/>
          </rPr>
          <t>Face nominal amount.</t>
        </r>
      </text>
    </comment>
    <comment ref="C13" authorId="0">
      <text>
        <r>
          <rPr>
            <sz val="8"/>
            <color indexed="81"/>
            <rFont val="Tahoma"/>
            <family val="2"/>
          </rPr>
          <t>fixing days (e.g. 2).</t>
        </r>
      </text>
    </comment>
    <comment ref="C14" authorId="0">
      <text>
        <r>
          <rPr>
            <sz val="8"/>
            <color indexed="81"/>
            <rFont val="Tahoma"/>
            <family val="2"/>
          </rPr>
          <t>TRUE if the fixing is in arrears.</t>
        </r>
      </text>
    </comment>
    <comment ref="C15" authorId="0">
      <text>
        <r>
          <rPr>
            <sz val="8"/>
            <color indexed="81"/>
            <rFont val="Tahoma"/>
            <family val="2"/>
          </rPr>
          <t>Payment DayCounter ID.</t>
        </r>
      </text>
    </comment>
    <comment ref="C16" authorId="0">
      <text>
        <r>
          <rPr>
            <sz val="8"/>
            <color indexed="81"/>
            <rFont val="Tahoma"/>
            <family val="2"/>
          </rPr>
          <t>floating rate index.</t>
        </r>
      </text>
    </comment>
    <comment ref="C18" authorId="0">
      <text>
        <r>
          <rPr>
            <sz val="8"/>
            <color indexed="81"/>
            <rFont val="Tahoma"/>
            <family val="2"/>
          </rPr>
          <t>Redemption value.</t>
        </r>
      </text>
    </comment>
  </commentList>
</comments>
</file>

<file path=xl/sharedStrings.xml><?xml version="1.0" encoding="utf-8"?>
<sst xmlns="http://schemas.openxmlformats.org/spreadsheetml/2006/main" count="561" uniqueCount="540">
  <si>
    <t>BID</t>
  </si>
  <si>
    <t>ASK</t>
  </si>
  <si>
    <t>DESCRIZIONE</t>
  </si>
  <si>
    <t>Maturity Date</t>
  </si>
  <si>
    <t>Coupon</t>
  </si>
  <si>
    <t>Redemption</t>
  </si>
  <si>
    <t>yield</t>
  </si>
  <si>
    <t>o/w</t>
  </si>
  <si>
    <t>zc price</t>
  </si>
  <si>
    <t>eff zc price</t>
  </si>
  <si>
    <t>eff yield</t>
  </si>
  <si>
    <t>zero bond</t>
  </si>
  <si>
    <t>Bond Helpers</t>
  </si>
  <si>
    <t>Compounded</t>
  </si>
  <si>
    <t>YieldFrequency</t>
  </si>
  <si>
    <t>YieldCompounding</t>
  </si>
  <si>
    <t>YieldDayCounter</t>
  </si>
  <si>
    <t>Trigger</t>
  </si>
  <si>
    <t>Curve Repricing</t>
  </si>
  <si>
    <t>Used Price</t>
  </si>
  <si>
    <t>Principal Premium Bid</t>
  </si>
  <si>
    <t>Principal Premium Ask</t>
  </si>
  <si>
    <t>AswIndex</t>
  </si>
  <si>
    <t>Euribor6M</t>
  </si>
  <si>
    <t>ParAsw</t>
  </si>
  <si>
    <t>DiscountingCurve</t>
  </si>
  <si>
    <t>Bid Ask Spread</t>
  </si>
  <si>
    <t>Error Check</t>
  </si>
  <si>
    <t>Price</t>
  </si>
  <si>
    <t>Discount Factor</t>
  </si>
  <si>
    <t>DESCRIPTION</t>
  </si>
  <si>
    <t>Used Residue Premium</t>
  </si>
  <si>
    <t>Residue RIC</t>
  </si>
  <si>
    <t>IT0001247136</t>
  </si>
  <si>
    <t>IT0001247144</t>
  </si>
  <si>
    <t>IT0001247151</t>
  </si>
  <si>
    <t>IT0003246318</t>
  </si>
  <si>
    <t>IT0001247177</t>
  </si>
  <si>
    <t>IT0001247185</t>
  </si>
  <si>
    <t>IT0001247219</t>
  </si>
  <si>
    <t>IT0001247227</t>
  </si>
  <si>
    <t>IT0001247235</t>
  </si>
  <si>
    <t>IT0003268585</t>
  </si>
  <si>
    <t>IT0001247243</t>
  </si>
  <si>
    <t>IT0001247250</t>
  </si>
  <si>
    <t>IT0003268635</t>
  </si>
  <si>
    <t>IT0001247268</t>
  </si>
  <si>
    <t>IT0003268676</t>
  </si>
  <si>
    <t>IT0001247276</t>
  </si>
  <si>
    <t>IT0001247284</t>
  </si>
  <si>
    <t>IT0003268726</t>
  </si>
  <si>
    <t>IT0001247292</t>
  </si>
  <si>
    <t>IT0003268742</t>
  </si>
  <si>
    <t>IT0003268775</t>
  </si>
  <si>
    <t>IT0001247318</t>
  </si>
  <si>
    <t>IT0003268809</t>
  </si>
  <si>
    <t>IT0001247334</t>
  </si>
  <si>
    <t>IT0003268817</t>
  </si>
  <si>
    <t>IT0001247342</t>
  </si>
  <si>
    <t>IT0003268825</t>
  </si>
  <si>
    <t>IT0001247359</t>
  </si>
  <si>
    <t>IT0003268833</t>
  </si>
  <si>
    <t>IT0001247367</t>
  </si>
  <si>
    <t>IT0003268841</t>
  </si>
  <si>
    <t>IT0001247375</t>
  </si>
  <si>
    <t>IT0003268858</t>
  </si>
  <si>
    <t>IT0003268874</t>
  </si>
  <si>
    <t>IT0001247391</t>
  </si>
  <si>
    <t>IT0003268882</t>
  </si>
  <si>
    <t>IT0003268890</t>
  </si>
  <si>
    <t>IT0001312781</t>
  </si>
  <si>
    <t>IT0003268908</t>
  </si>
  <si>
    <t>IT0001312799</t>
  </si>
  <si>
    <t>IT0003268924</t>
  </si>
  <si>
    <t>IT0001312807</t>
  </si>
  <si>
    <t>IT0003268932</t>
  </si>
  <si>
    <t>IT0003268957</t>
  </si>
  <si>
    <t>IT0001464194</t>
  </si>
  <si>
    <t>IT0003268973</t>
  </si>
  <si>
    <t>IT0001464202</t>
  </si>
  <si>
    <t>IT0003268999</t>
  </si>
  <si>
    <t>IT0003269013</t>
  </si>
  <si>
    <t>IT0003269021</t>
  </si>
  <si>
    <t>IT0003269039</t>
  </si>
  <si>
    <t>IT0003540389</t>
  </si>
  <si>
    <t>IT0003540397</t>
  </si>
  <si>
    <t>IT0004002819</t>
  </si>
  <si>
    <t>IT0004002827</t>
  </si>
  <si>
    <t>IT0004002835</t>
  </si>
  <si>
    <t>IT0004002843</t>
  </si>
  <si>
    <t>IT0004288590</t>
  </si>
  <si>
    <t>IT0004288608</t>
  </si>
  <si>
    <t>IT0004288616</t>
  </si>
  <si>
    <t>IT0004288624</t>
  </si>
  <si>
    <t>MATURITY</t>
  </si>
  <si>
    <t>Strip Ask</t>
  </si>
  <si>
    <t>Strip Bid</t>
  </si>
  <si>
    <t>Discount</t>
  </si>
  <si>
    <t>MonotonicLogCubicNaturalSpline</t>
  </si>
  <si>
    <t>YieldCurveTraits</t>
  </si>
  <si>
    <t>YieldCurveInterpolation</t>
  </si>
  <si>
    <t>dirty price</t>
  </si>
  <si>
    <t>eff dirty price</t>
  </si>
  <si>
    <t>BondSettlementDate</t>
  </si>
  <si>
    <t>BTP Quote</t>
  </si>
  <si>
    <t>BTP Set Value</t>
  </si>
  <si>
    <t>ResPrem Set Value</t>
  </si>
  <si>
    <t>Helper Quote</t>
  </si>
  <si>
    <t>BTP ISIN</t>
  </si>
  <si>
    <t>EvaluationDate</t>
  </si>
  <si>
    <t>Bond for BondHelper</t>
  </si>
  <si>
    <t>Bond for repricing</t>
  </si>
  <si>
    <t>BtpCurve</t>
  </si>
  <si>
    <t>Effective Filter</t>
  </si>
  <si>
    <t>Include</t>
  </si>
  <si>
    <t>ReferenceBond</t>
  </si>
  <si>
    <t>MID</t>
  </si>
  <si>
    <t>IgnoreResiduePremium</t>
  </si>
  <si>
    <t>Accrued Amount</t>
  </si>
  <si>
    <t>Exclude March, September</t>
  </si>
  <si>
    <t>IT0004957756</t>
  </si>
  <si>
    <t>BTPSS 0 09/01/14</t>
  </si>
  <si>
    <t>STRIP.IT0004957756</t>
  </si>
  <si>
    <t>IT0004957764</t>
  </si>
  <si>
    <t>BTPSS 0 03/01/15</t>
  </si>
  <si>
    <t>STRIP.IT0004957764</t>
  </si>
  <si>
    <t>IT0004957772</t>
  </si>
  <si>
    <t>BTPSS 0 09/01/15</t>
  </si>
  <si>
    <t>STRIP.IT0004957772</t>
  </si>
  <si>
    <t>IT0004957780</t>
  </si>
  <si>
    <t>BTPSS 0 03/01/16</t>
  </si>
  <si>
    <t>STRIP.IT0004957780</t>
  </si>
  <si>
    <t>IT0004957798</t>
  </si>
  <si>
    <t>BTPSS 0 09/01/16</t>
  </si>
  <si>
    <t>STRIP.IT0004957798</t>
  </si>
  <si>
    <t>IT0004957806</t>
  </si>
  <si>
    <t>BTPSS 0 03/01/17</t>
  </si>
  <si>
    <t>STRIP.IT0004957806</t>
  </si>
  <si>
    <t>IT0004957814</t>
  </si>
  <si>
    <t>BTPSS 0 09/01/17</t>
  </si>
  <si>
    <t>STRIP.IT0004957814</t>
  </si>
  <si>
    <t>IT0004957822</t>
  </si>
  <si>
    <t>BTPSS 0 03/01/18</t>
  </si>
  <si>
    <t>STRIP.IT0004957822</t>
  </si>
  <si>
    <t>IT0004957830</t>
  </si>
  <si>
    <t>BTPSS 0 09/01/18</t>
  </si>
  <si>
    <t>STRIP.IT0004957830</t>
  </si>
  <si>
    <t>IT0004957848</t>
  </si>
  <si>
    <t>BTPSS 0 03/01/19</t>
  </si>
  <si>
    <t>STRIP.IT0004957848</t>
  </si>
  <si>
    <t>IT0004957855</t>
  </si>
  <si>
    <t>BTPSS 0 09/01/19</t>
  </si>
  <si>
    <t>STRIP.IT0004957855</t>
  </si>
  <si>
    <t>IT0004957863</t>
  </si>
  <si>
    <t>BTPSS 0 03/01/20</t>
  </si>
  <si>
    <t>STRIP.IT0004957863</t>
  </si>
  <si>
    <t>IT0004957871</t>
  </si>
  <si>
    <t>BTPSS 0 09/01/20</t>
  </si>
  <si>
    <t>STRIP.IT0004957871</t>
  </si>
  <si>
    <t>IT0004957889</t>
  </si>
  <si>
    <t>BTPSS 0 03/01/21</t>
  </si>
  <si>
    <t>STRIP.IT0004957889</t>
  </si>
  <si>
    <t>IT0004957897</t>
  </si>
  <si>
    <t>BTPSS 0 09/01/21</t>
  </si>
  <si>
    <t>STRIP.IT0004957897</t>
  </si>
  <si>
    <t>IT0004957905</t>
  </si>
  <si>
    <t>BTPSS 0 03/01/22</t>
  </si>
  <si>
    <t>STRIP.IT0004957905</t>
  </si>
  <si>
    <t>IT0004957913</t>
  </si>
  <si>
    <t>BTPSS 0 09/01/22</t>
  </si>
  <si>
    <t>STRIP.IT0004957913</t>
  </si>
  <si>
    <t>IT0004957921</t>
  </si>
  <si>
    <t>BTPSS 0 03/01/23</t>
  </si>
  <si>
    <t>STRIP.IT0004957921</t>
  </si>
  <si>
    <t>IT0004957939</t>
  </si>
  <si>
    <t>BTPSS 0 09/01/23</t>
  </si>
  <si>
    <t>STRIP.IT0004957939</t>
  </si>
  <si>
    <t>IT0004957947</t>
  </si>
  <si>
    <t>BTPSH 0 03/01/24</t>
  </si>
  <si>
    <t>STRIP.IT0004957947</t>
  </si>
  <si>
    <t>IT0004976442</t>
  </si>
  <si>
    <t>BTPSS 0 09/01/24</t>
  </si>
  <si>
    <t>STRIP.IT0004976442</t>
  </si>
  <si>
    <t>IT0004976459</t>
  </si>
  <si>
    <t>BTPSS 0 03/01/25</t>
  </si>
  <si>
    <t>STRIP.IT0004976459</t>
  </si>
  <si>
    <t>IT0004976467</t>
  </si>
  <si>
    <t>BTPSS 0 09/01/25</t>
  </si>
  <si>
    <t>STRIP.IT0004976467</t>
  </si>
  <si>
    <t>IT0004976475</t>
  </si>
  <si>
    <t>BTPSS 0 03/01/26</t>
  </si>
  <si>
    <t>STRIP.IT0004976475</t>
  </si>
  <si>
    <t>IT0004976483</t>
  </si>
  <si>
    <t>BTPSS 0 09/01/26</t>
  </si>
  <si>
    <t>STRIP.IT0004976483</t>
  </si>
  <si>
    <t>IT0004976491</t>
  </si>
  <si>
    <t>BTPSS 0 03/01/27</t>
  </si>
  <si>
    <t>STRIP.IT0004976491</t>
  </si>
  <si>
    <t>IT0004976509</t>
  </si>
  <si>
    <t>BTPSS 0 09/01/27</t>
  </si>
  <si>
    <t>STRIP.IT0004976509</t>
  </si>
  <si>
    <t>IT0004976517</t>
  </si>
  <si>
    <t>BTPSS 0 03/01/28</t>
  </si>
  <si>
    <t>STRIP.IT0004976517</t>
  </si>
  <si>
    <t>IT0004976525</t>
  </si>
  <si>
    <t>BTPSH 0 09/01/28</t>
  </si>
  <si>
    <t>STRIP.IT0004976525</t>
  </si>
  <si>
    <t>IT0004976533</t>
  </si>
  <si>
    <t>BTPSS 0 03/01/29</t>
  </si>
  <si>
    <t>STRIP.IT0004976533</t>
  </si>
  <si>
    <t>IT0004976541</t>
  </si>
  <si>
    <t>BTPSS 0 09/01/29</t>
  </si>
  <si>
    <t>STRIP.IT0004976541</t>
  </si>
  <si>
    <t>IT0004976558</t>
  </si>
  <si>
    <t>BTPSS 0 03/01/30</t>
  </si>
  <si>
    <t>STRIP.IT0004976558</t>
  </si>
  <si>
    <t>IT0004976566</t>
  </si>
  <si>
    <t>BTPSS 0 09/01/30</t>
  </si>
  <si>
    <t>STRIP.IT0004976566</t>
  </si>
  <si>
    <t>IT0004976574</t>
  </si>
  <si>
    <t>BTPSS 0 03/01/31</t>
  </si>
  <si>
    <t>STRIP.IT0004976574</t>
  </si>
  <si>
    <t>IT0004976582</t>
  </si>
  <si>
    <t>BTPSS 0 09/01/31</t>
  </si>
  <si>
    <t>STRIP.IT0004976582</t>
  </si>
  <si>
    <t>IT0004976590</t>
  </si>
  <si>
    <t>BTPSS 0 03/01/32</t>
  </si>
  <si>
    <t>STRIP.IT0004976590</t>
  </si>
  <si>
    <t>IT0004976608</t>
  </si>
  <si>
    <t>BTPSS 0 09/01/32</t>
  </si>
  <si>
    <t>STRIP.IT0004976608</t>
  </si>
  <si>
    <t>IT0004976616</t>
  </si>
  <si>
    <t>BTPSS 0 03/01/33</t>
  </si>
  <si>
    <t>STRIP.IT0004976616</t>
  </si>
  <si>
    <t>IT0004976624</t>
  </si>
  <si>
    <t>BTPSS 0 09/01/33</t>
  </si>
  <si>
    <t>STRIP.IT0004976624</t>
  </si>
  <si>
    <t>IT0004976632</t>
  </si>
  <si>
    <t>BTPSS 0 03/01/34</t>
  </si>
  <si>
    <t>STRIP.IT0004976632</t>
  </si>
  <si>
    <t>IT0004976640</t>
  </si>
  <si>
    <t>BTPSS 0 09/01/34</t>
  </si>
  <si>
    <t>STRIP.IT0004976640</t>
  </si>
  <si>
    <t>IT0004976657</t>
  </si>
  <si>
    <t>BTPSS 0 03/01/35</t>
  </si>
  <si>
    <t>STRIP.IT0004976657</t>
  </si>
  <si>
    <t>IT0004976665</t>
  </si>
  <si>
    <t>BTPSS 0 09/01/35</t>
  </si>
  <si>
    <t>STRIP.IT0004976665</t>
  </si>
  <si>
    <t>IT0004976673</t>
  </si>
  <si>
    <t>BTPSS 0 03/01/36</t>
  </si>
  <si>
    <t>STRIP.IT0004976673</t>
  </si>
  <si>
    <t>IT0004976681</t>
  </si>
  <si>
    <t>BTPSS 0 09/01/36</t>
  </si>
  <si>
    <t>STRIP.IT0004976681</t>
  </si>
  <si>
    <t>IT0004976699</t>
  </si>
  <si>
    <t>BTPSS 0 03/01/37</t>
  </si>
  <si>
    <t>STRIP.IT0004976699</t>
  </si>
  <si>
    <t>IT0004976707</t>
  </si>
  <si>
    <t>BTPSS 0 09/01/37</t>
  </si>
  <si>
    <t>STRIP.IT0004976707</t>
  </si>
  <si>
    <t>IT0004976715</t>
  </si>
  <si>
    <t>BTPSS 0 03/01/38</t>
  </si>
  <si>
    <t>STRIP.IT0004976715</t>
  </si>
  <si>
    <t>IT0004976723</t>
  </si>
  <si>
    <t>BTPSS 0 09/01/38</t>
  </si>
  <si>
    <t>STRIP.IT0004976723</t>
  </si>
  <si>
    <t>IT0004976731</t>
  </si>
  <si>
    <t>BTPSS 0 03/01/39</t>
  </si>
  <si>
    <t>STRIP.IT0004976731</t>
  </si>
  <si>
    <t>IT0004976749</t>
  </si>
  <si>
    <t>BTPSS 0 09/01/39</t>
  </si>
  <si>
    <t>STRIP.IT0004976749</t>
  </si>
  <si>
    <t>IT0004976756</t>
  </si>
  <si>
    <t>BTPSS 0 03/01/40</t>
  </si>
  <si>
    <t>STRIP.IT0004976756</t>
  </si>
  <si>
    <t>IT0004976764</t>
  </si>
  <si>
    <t>BTPSS 0 09/01/40</t>
  </si>
  <si>
    <t>STRIP.IT0004976764</t>
  </si>
  <si>
    <t>IT0004976772</t>
  </si>
  <si>
    <t>BTPSS 0 03/01/41</t>
  </si>
  <si>
    <t>STRIP.IT0004976772</t>
  </si>
  <si>
    <t>IT0004976780</t>
  </si>
  <si>
    <t>BTPSS 0 09/01/41</t>
  </si>
  <si>
    <t>STRIP.IT0004976780</t>
  </si>
  <si>
    <t>IT0004976798</t>
  </si>
  <si>
    <t>BTPSS 0 03/01/42</t>
  </si>
  <si>
    <t>STRIP.IT0004976798</t>
  </si>
  <si>
    <t>IT0004976806</t>
  </si>
  <si>
    <t>BTPSS 0 09/01/42</t>
  </si>
  <si>
    <t>STRIP.IT0004976806</t>
  </si>
  <si>
    <t>IT0004976814</t>
  </si>
  <si>
    <t>BTPSS 0 03/01/43</t>
  </si>
  <si>
    <t>STRIP.IT0004976814</t>
  </si>
  <si>
    <t>IT0004976822</t>
  </si>
  <si>
    <t>BTPSS 0 09/01/43</t>
  </si>
  <si>
    <t>STRIP.IT0004976822</t>
  </si>
  <si>
    <t>IT0004976830</t>
  </si>
  <si>
    <t>BTPSS 0 03/01/44</t>
  </si>
  <si>
    <t>STRIP.IT0004976830</t>
  </si>
  <si>
    <t>IT0004976848</t>
  </si>
  <si>
    <t>BTPSH 0 09/01/44</t>
  </si>
  <si>
    <t>STRIP.IT0004976848</t>
  </si>
  <si>
    <t>BTPSS 0 05/01/14</t>
  </si>
  <si>
    <t>STRIP.IT0001247136</t>
  </si>
  <si>
    <t>IT0004848609</t>
  </si>
  <si>
    <t>BTPSH 0 08/01/14</t>
  </si>
  <si>
    <t>STRIP.IT0004848609</t>
  </si>
  <si>
    <t>BTPSS 0 11/01/14</t>
  </si>
  <si>
    <t>STRIP.IT0001247144</t>
  </si>
  <si>
    <t>IT0004848625</t>
  </si>
  <si>
    <t>BTPSH 0 02/01/15</t>
  </si>
  <si>
    <t>STRIP.IT0004848625</t>
  </si>
  <si>
    <t>BTPSS 0 05/01/15</t>
  </si>
  <si>
    <t>STRIP.IT0001247151</t>
  </si>
  <si>
    <t>IT0004848633</t>
  </si>
  <si>
    <t>BTPSH 0 08/01/15</t>
  </si>
  <si>
    <t>STRIP.IT0004848633</t>
  </si>
  <si>
    <t>IT0004871353</t>
  </si>
  <si>
    <t>BTPSH 0 11/01/15</t>
  </si>
  <si>
    <t>STRIP.IT0004871353</t>
  </si>
  <si>
    <t>BTPSS 0 02/01/16</t>
  </si>
  <si>
    <t>STRIP.IT0003246318</t>
  </si>
  <si>
    <t>BTPSS 0 05/01/16</t>
  </si>
  <si>
    <t>STRIP.IT0001247177</t>
  </si>
  <si>
    <t>IT0004848666</t>
  </si>
  <si>
    <t>BTPSH 0 08/01/16</t>
  </si>
  <si>
    <t>STRIP.IT0004848666</t>
  </si>
  <si>
    <t>BTPSS 0 11/01/16</t>
  </si>
  <si>
    <t>STRIP.IT0001247185</t>
  </si>
  <si>
    <t>IT0004848674</t>
  </si>
  <si>
    <t>BTPSH 0 02/01/17</t>
  </si>
  <si>
    <t>STRIP.IT0004848674</t>
  </si>
  <si>
    <t>IT0004848807</t>
  </si>
  <si>
    <t>BTPSH 0 05/01/17</t>
  </si>
  <si>
    <t>STRIP.IT0004848807</t>
  </si>
  <si>
    <t>IT0004848500</t>
  </si>
  <si>
    <t>BTPSH 0 08/01/17</t>
  </si>
  <si>
    <t>STRIP.IT0004848500</t>
  </si>
  <si>
    <t>IT0004869316</t>
  </si>
  <si>
    <t>BTPSH 0 11/01/17</t>
  </si>
  <si>
    <t>STRIP.IT0004869316</t>
  </si>
  <si>
    <t>IT0004848682</t>
  </si>
  <si>
    <t>BTPSH 0 02/01/18</t>
  </si>
  <si>
    <t>STRIP.IT0004848682</t>
  </si>
  <si>
    <t>BTPSS 0 05/01/18</t>
  </si>
  <si>
    <t>STRIP.IT0001247219</t>
  </si>
  <si>
    <t>IT0004848716</t>
  </si>
  <si>
    <t>BTPSH 0 08/01/18</t>
  </si>
  <si>
    <t>STRIP.IT0004848716</t>
  </si>
  <si>
    <t>BTPSS 0 11/01/18</t>
  </si>
  <si>
    <t>STRIP.IT0001247227</t>
  </si>
  <si>
    <t>IT0004848583</t>
  </si>
  <si>
    <t>BTPSH 0 02/01/19</t>
  </si>
  <si>
    <t>STRIP.IT0004848583</t>
  </si>
  <si>
    <t>BTPSS 0 05/01/19</t>
  </si>
  <si>
    <t>STRIP.IT0001247235</t>
  </si>
  <si>
    <t>BTPSS 0 08/01/19</t>
  </si>
  <si>
    <t>STRIP.IT0003268585</t>
  </si>
  <si>
    <t>BTPSS 0 11/01/19</t>
  </si>
  <si>
    <t>STRIP.IT0001247243</t>
  </si>
  <si>
    <t>IT0004848617</t>
  </si>
  <si>
    <t>BTPSH 0 02/01/20</t>
  </si>
  <si>
    <t>STRIP.IT0004848617</t>
  </si>
  <si>
    <t>BTPSS 0 05/01/20</t>
  </si>
  <si>
    <t>STRIP.IT0001247250</t>
  </si>
  <si>
    <t>BTPSS 0 08/01/20</t>
  </si>
  <si>
    <t>STRIP.IT0003268635</t>
  </si>
  <si>
    <t>BTPSS 0 11/01/20</t>
  </si>
  <si>
    <t>STRIP.IT0001247268</t>
  </si>
  <si>
    <t>BTPSS 0 02/01/21</t>
  </si>
  <si>
    <t>STRIP.IT0003268676</t>
  </si>
  <si>
    <t>BTPSS 0 05/01/21</t>
  </si>
  <si>
    <t>STRIP.IT0001247276</t>
  </si>
  <si>
    <t>IT0004848658</t>
  </si>
  <si>
    <t>BTPSH 0 08/01/21</t>
  </si>
  <si>
    <t>STRIP.IT0004848658</t>
  </si>
  <si>
    <t>BTPSS 0 11/01/21</t>
  </si>
  <si>
    <t>STRIP.IT0001247284</t>
  </si>
  <si>
    <t>BTPSS 0 02/01/22</t>
  </si>
  <si>
    <t>STRIP.IT0003268726</t>
  </si>
  <si>
    <t>BTPSS 0 05/01/22</t>
  </si>
  <si>
    <t>STRIP.IT0001247292</t>
  </si>
  <si>
    <t>BTPSS 0 08/01/22</t>
  </si>
  <si>
    <t>STRIP.IT0003268742</t>
  </si>
  <si>
    <t>IT0004869324</t>
  </si>
  <si>
    <t>BTPSH 0 11/01/22</t>
  </si>
  <si>
    <t>STRIP.IT0004869324</t>
  </si>
  <si>
    <t>BTPSS 0 02/01/23</t>
  </si>
  <si>
    <t>STRIP.IT0003268775</t>
  </si>
  <si>
    <t>BTPSS 0 05/01/23</t>
  </si>
  <si>
    <t>STRIP.IT0001247318</t>
  </si>
  <si>
    <t>IT0004848708</t>
  </si>
  <si>
    <t>BTPSH 0 08/01/23</t>
  </si>
  <si>
    <t>STRIP.IT0004848708</t>
  </si>
  <si>
    <t>IT0004848435</t>
  </si>
  <si>
    <t>BTPSH 0 11/01/23</t>
  </si>
  <si>
    <t>STRIP.IT0004848435</t>
  </si>
  <si>
    <t>BTPSS 0 02/01/24</t>
  </si>
  <si>
    <t>STRIP.IT0003268809</t>
  </si>
  <si>
    <t>BTPSS 0 05/01/24</t>
  </si>
  <si>
    <t>STRIP.IT0001247334</t>
  </si>
  <si>
    <t>BTPSS 0 08/01/24</t>
  </si>
  <si>
    <t>STRIP.IT0003268817</t>
  </si>
  <si>
    <t>BTPSS 0 11/01/24</t>
  </si>
  <si>
    <t>STRIP.IT0001247342</t>
  </si>
  <si>
    <t>BTPSS 0 02/01/25</t>
  </si>
  <si>
    <t>STRIP.IT0003268825</t>
  </si>
  <si>
    <t>BTPSS 0 05/01/25</t>
  </si>
  <si>
    <t>STRIP.IT0001247359</t>
  </si>
  <si>
    <t>BTPSS 0 08/01/25</t>
  </si>
  <si>
    <t>STRIP.IT0003268833</t>
  </si>
  <si>
    <t>BTPSS 0 11/01/25</t>
  </si>
  <si>
    <t>STRIP.IT0001247367</t>
  </si>
  <si>
    <t>BTPSS 0 02/01/26</t>
  </si>
  <si>
    <t>STRIP.IT0003268841</t>
  </si>
  <si>
    <t>BTPSS 0 05/01/26</t>
  </si>
  <si>
    <t>STRIP.IT0001247375</t>
  </si>
  <si>
    <t>BTPSS 0 08/01/26</t>
  </si>
  <si>
    <t>STRIP.IT0003268858</t>
  </si>
  <si>
    <t>IT0004848443</t>
  </si>
  <si>
    <t>BTPSH 0 11/01/26</t>
  </si>
  <si>
    <t>STRIP.IT0004848443</t>
  </si>
  <si>
    <t>BTPSS 0 02/01/27</t>
  </si>
  <si>
    <t>STRIP.IT0003268874</t>
  </si>
  <si>
    <t>BTPSS 0 05/01/27</t>
  </si>
  <si>
    <t>STRIP.IT0001247391</t>
  </si>
  <si>
    <t>BTPSS 0 08/01/27</t>
  </si>
  <si>
    <t>STRIP.IT0003268882</t>
  </si>
  <si>
    <t>IT0004848476</t>
  </si>
  <si>
    <t>BTPSH 0 11/01/27</t>
  </si>
  <si>
    <t>STRIP.IT0004848476</t>
  </si>
  <si>
    <t>BTPSS 0 02/01/28</t>
  </si>
  <si>
    <t>STRIP.IT0003268890</t>
  </si>
  <si>
    <t>BTPSS 0 05/01/28</t>
  </si>
  <si>
    <t>STRIP.IT0001312781</t>
  </si>
  <si>
    <t>BTPSS 0 08/01/28</t>
  </si>
  <si>
    <t>STRIP.IT0003268908</t>
  </si>
  <si>
    <t>BTPSS 0 11/01/28</t>
  </si>
  <si>
    <t>STRIP.IT0001312799</t>
  </si>
  <si>
    <t>BTPSS 0 02/01/29</t>
  </si>
  <si>
    <t>STRIP.IT0003268924</t>
  </si>
  <si>
    <t>BTPSS 0 05/01/29</t>
  </si>
  <si>
    <t>STRIP.IT0001312807</t>
  </si>
  <si>
    <t>BTPSS 0 08/01/29</t>
  </si>
  <si>
    <t>STRIP.IT0003268932</t>
  </si>
  <si>
    <t>IT0004848484</t>
  </si>
  <si>
    <t>BTPSH 0 11/01/29</t>
  </si>
  <si>
    <t>STRIP.IT0004848484</t>
  </si>
  <si>
    <t>BTPSS 0 02/01/30</t>
  </si>
  <si>
    <t>STRIP.IT0003268957</t>
  </si>
  <si>
    <t>BTPSS 0 05/01/30</t>
  </si>
  <si>
    <t>STRIP.IT0001464194</t>
  </si>
  <si>
    <t>BTPSS 0 08/01/30</t>
  </si>
  <si>
    <t>STRIP.IT0003268973</t>
  </si>
  <si>
    <t>BTPSS 0 11/01/30</t>
  </si>
  <si>
    <t>STRIP.IT0001464202</t>
  </si>
  <si>
    <t>BTPSS 0 02/01/31</t>
  </si>
  <si>
    <t>STRIP.IT0003268999</t>
  </si>
  <si>
    <t>IT0004848492</t>
  </si>
  <si>
    <t>BTPSH 0 05/01/31</t>
  </si>
  <si>
    <t>STRIP.IT0004848492</t>
  </si>
  <si>
    <t>BTPSS 0 08/01/31</t>
  </si>
  <si>
    <t>STRIP.IT0003269013</t>
  </si>
  <si>
    <t>BTPSS 0 02/01/32</t>
  </si>
  <si>
    <t>STRIP.IT0003269021</t>
  </si>
  <si>
    <t>BTPSS 0 08/01/32</t>
  </si>
  <si>
    <t>STRIP.IT0003269039</t>
  </si>
  <si>
    <t>IT0004848534</t>
  </si>
  <si>
    <t>BTPSH 0 02/01/33</t>
  </si>
  <si>
    <t>STRIP.IT0004848534</t>
  </si>
  <si>
    <t>BTPSS 0 08/01/33</t>
  </si>
  <si>
    <t>STRIP.IT0003540389</t>
  </si>
  <si>
    <t>BTPSS 0 02/01/34</t>
  </si>
  <si>
    <t>STRIP.IT0003540397</t>
  </si>
  <si>
    <t>IT0004848591</t>
  </si>
  <si>
    <t>BTPSH 0 08/01/34</t>
  </si>
  <si>
    <t>STRIP.IT0004848591</t>
  </si>
  <si>
    <t>BTPSS 0 02/01/35</t>
  </si>
  <si>
    <t>STRIP.IT0004002819</t>
  </si>
  <si>
    <t>BTPSS 0 08/01/35</t>
  </si>
  <si>
    <t>STRIP.IT0004002827</t>
  </si>
  <si>
    <t>BTPSS 0 02/01/36</t>
  </si>
  <si>
    <t>STRIP.IT0004002835</t>
  </si>
  <si>
    <t>BTPSS 0 08/01/36</t>
  </si>
  <si>
    <t>STRIP.IT0004002843</t>
  </si>
  <si>
    <t>IT0004848641</t>
  </si>
  <si>
    <t>BTPSH 0 02/01/37</t>
  </si>
  <si>
    <t>STRIP.IT0004848641</t>
  </si>
  <si>
    <t>BTPSS 0 08/01/37</t>
  </si>
  <si>
    <t>STRIP.IT0004288590</t>
  </si>
  <si>
    <t>BTPSS 0 02/01/38</t>
  </si>
  <si>
    <t>STRIP.IT0004288608</t>
  </si>
  <si>
    <t>BTPSS 0 08/01/38</t>
  </si>
  <si>
    <t>STRIP.IT0004288616</t>
  </si>
  <si>
    <t>BTPSS 0 02/01/39</t>
  </si>
  <si>
    <t>STRIP.IT0004288624</t>
  </si>
  <si>
    <t>IT0004848690</t>
  </si>
  <si>
    <t>BTPSH 0 08/01/39</t>
  </si>
  <si>
    <t>STRIP.IT0004848690</t>
  </si>
  <si>
    <t>Bid</t>
  </si>
  <si>
    <t>Ask</t>
  </si>
  <si>
    <t>Mx Contribution</t>
  </si>
  <si>
    <t>Spread</t>
  </si>
  <si>
    <t>DTSIMI2</t>
  </si>
  <si>
    <t>Mx</t>
  </si>
  <si>
    <t>ION Contribution</t>
  </si>
  <si>
    <t>ISIN</t>
  </si>
  <si>
    <t>EUR.PRICING.XLS_STRIPS.</t>
  </si>
  <si>
    <t>BTP 2040-09-01 5%</t>
  </si>
  <si>
    <t>BIDYIELD</t>
  </si>
  <si>
    <t>BID BOND</t>
  </si>
  <si>
    <t>MIDYIELD</t>
  </si>
  <si>
    <t>MID BOND</t>
  </si>
  <si>
    <t>ASKYIELD</t>
  </si>
  <si>
    <t>ASK BOND</t>
  </si>
  <si>
    <t>DV01</t>
  </si>
  <si>
    <t>Modified</t>
  </si>
  <si>
    <t>Duration</t>
  </si>
  <si>
    <t>Convexity</t>
  </si>
  <si>
    <t>EUR</t>
  </si>
  <si>
    <t>Following</t>
  </si>
  <si>
    <t>ScheduleID</t>
  </si>
  <si>
    <t>Description</t>
  </si>
  <si>
    <t>Currency</t>
  </si>
  <si>
    <t>SettlementDays</t>
  </si>
  <si>
    <t>PaymentBDC</t>
  </si>
  <si>
    <t>FaceAmount</t>
  </si>
  <si>
    <t>FixingDays</t>
  </si>
  <si>
    <t>IsInArrears</t>
  </si>
  <si>
    <t>DayCounter</t>
  </si>
  <si>
    <t>IborIndex</t>
  </si>
  <si>
    <t>FloatingRateBond</t>
  </si>
  <si>
    <t>Actual/360</t>
  </si>
  <si>
    <t>new CCT</t>
  </si>
  <si>
    <t>RedemptionDate</t>
  </si>
  <si>
    <t>7y</t>
  </si>
  <si>
    <t>Actual/Actual (ISMA)</t>
  </si>
  <si>
    <t>Annual</t>
  </si>
  <si>
    <t>EURON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</si>
</sst>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(* #,##0.00_);_(* \(#,##0.00\);_(* &quot;-&quot;??_);_(@_)"/>
    <numFmt numFmtId="164" formatCode="0.000%"/>
    <numFmt numFmtId="165" formatCode="0.000"/>
    <numFmt numFmtId="166" formatCode="0.0000%"/>
    <numFmt numFmtId="167" formatCode="0.0000"/>
    <numFmt numFmtId="168" formatCode="ddd\,\ d\-mmm\-yyyy"/>
    <numFmt numFmtId="169" formatCode="ddd\,\ dd\-mmm\-yyyy"/>
    <numFmt numFmtId="170" formatCode="0.000000000"/>
    <numFmt numFmtId="171" formatCode="ddd\,\ dd\-mmm\-yyyy\,\ hh:mm:ss"/>
    <numFmt numFmtId="172" formatCode="[$-409]d\-mmm\-yyyy;@"/>
  </numFmts>
  <fonts count="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8"/>
      <name val="Arial"/>
      <family val="2"/>
    </font>
    <font>
      <sz val="8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26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9" fontId="1" fillId="0" borderId="0" applyFont="0" applyFill="0" applyBorder="0" applyAlignment="0" applyProtection="0"/>
  </cellStyleXfs>
  <cellXfs count="122">
    <xf numFmtId="0" fontId="0" fillId="0" borderId="0" xfId="0"/>
    <xf numFmtId="165" fontId="4" fillId="0" borderId="0" xfId="1" applyNumberFormat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164" fontId="3" fillId="0" borderId="0" xfId="1" applyNumberFormat="1" applyFont="1" applyBorder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4" fillId="0" borderId="8" xfId="2" applyFont="1" applyFill="1" applyBorder="1" applyAlignment="1">
      <alignment horizontal="center" vertical="center" wrapText="1"/>
    </xf>
    <xf numFmtId="0" fontId="4" fillId="0" borderId="9" xfId="2" applyFont="1" applyFill="1" applyBorder="1" applyAlignment="1">
      <alignment horizontal="center" vertical="center" wrapText="1"/>
    </xf>
    <xf numFmtId="0" fontId="4" fillId="0" borderId="10" xfId="2" applyFont="1" applyFill="1" applyBorder="1" applyAlignment="1">
      <alignment horizontal="center" vertical="center" wrapText="1"/>
    </xf>
    <xf numFmtId="0" fontId="4" fillId="0" borderId="0" xfId="2" applyFont="1" applyFill="1" applyBorder="1" applyAlignment="1">
      <alignment vertical="center"/>
    </xf>
    <xf numFmtId="165" fontId="4" fillId="0" borderId="0" xfId="1" applyNumberFormat="1" applyFont="1" applyFill="1" applyBorder="1" applyAlignment="1" applyProtection="1">
      <alignment vertical="center"/>
      <protection locked="0"/>
    </xf>
    <xf numFmtId="168" fontId="4" fillId="0" borderId="0" xfId="1" applyNumberFormat="1" applyFont="1" applyFill="1" applyBorder="1" applyAlignment="1">
      <alignment vertical="center"/>
    </xf>
    <xf numFmtId="10" fontId="4" fillId="0" borderId="0" xfId="1" applyNumberFormat="1" applyFont="1" applyFill="1" applyBorder="1" applyAlignment="1">
      <alignment vertical="center"/>
    </xf>
    <xf numFmtId="0" fontId="4" fillId="0" borderId="10" xfId="1" applyFont="1" applyFill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11" xfId="1" applyFont="1" applyFill="1" applyBorder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0" borderId="12" xfId="1" applyNumberFormat="1" applyFont="1" applyFill="1" applyBorder="1" applyAlignment="1">
      <alignment vertical="center"/>
    </xf>
    <xf numFmtId="164" fontId="4" fillId="0" borderId="0" xfId="3" applyNumberFormat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165" fontId="4" fillId="0" borderId="11" xfId="1" applyNumberFormat="1" applyFont="1" applyFill="1" applyBorder="1" applyAlignment="1" applyProtection="1">
      <alignment vertical="center"/>
      <protection locked="0"/>
    </xf>
    <xf numFmtId="165" fontId="4" fillId="0" borderId="11" xfId="1" applyNumberFormat="1" applyFont="1" applyFill="1" applyBorder="1" applyAlignment="1">
      <alignment vertical="center"/>
    </xf>
    <xf numFmtId="165" fontId="4" fillId="0" borderId="12" xfId="1" applyNumberFormat="1" applyFont="1" applyFill="1" applyBorder="1" applyAlignment="1" applyProtection="1">
      <alignment vertical="center"/>
      <protection locked="0"/>
    </xf>
    <xf numFmtId="2" fontId="4" fillId="0" borderId="12" xfId="1" applyNumberFormat="1" applyFont="1" applyFill="1" applyBorder="1" applyAlignment="1" applyProtection="1">
      <alignment vertical="center"/>
    </xf>
    <xf numFmtId="0" fontId="4" fillId="0" borderId="12" xfId="2" applyFont="1" applyFill="1" applyBorder="1" applyAlignment="1">
      <alignment vertical="center"/>
    </xf>
    <xf numFmtId="165" fontId="4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169" fontId="4" fillId="0" borderId="0" xfId="0" applyNumberFormat="1" applyFont="1" applyBorder="1" applyAlignment="1">
      <alignment horizontal="center" vertical="center" wrapText="1"/>
    </xf>
    <xf numFmtId="43" fontId="4" fillId="0" borderId="0" xfId="0" applyNumberFormat="1" applyFont="1" applyBorder="1" applyAlignment="1">
      <alignment horizontal="center" vertical="center" wrapText="1"/>
    </xf>
    <xf numFmtId="3" fontId="4" fillId="0" borderId="0" xfId="0" applyNumberFormat="1" applyFont="1" applyBorder="1" applyAlignment="1">
      <alignment horizontal="center" vertical="center" wrapText="1"/>
    </xf>
    <xf numFmtId="0" fontId="4" fillId="0" borderId="0" xfId="0" applyNumberFormat="1" applyFont="1" applyBorder="1" applyAlignment="1">
      <alignment horizontal="center" vertical="center" wrapText="1"/>
    </xf>
    <xf numFmtId="167" fontId="4" fillId="0" borderId="0" xfId="0" applyNumberFormat="1" applyFont="1" applyBorder="1" applyAlignment="1">
      <alignment horizontal="center" vertical="center" wrapText="1"/>
    </xf>
    <xf numFmtId="166" fontId="4" fillId="0" borderId="0" xfId="0" applyNumberFormat="1" applyFont="1" applyBorder="1" applyAlignment="1">
      <alignment horizontal="center" vertical="center" wrapText="1"/>
    </xf>
    <xf numFmtId="9" fontId="4" fillId="0" borderId="0" xfId="0" applyNumberFormat="1" applyFont="1" applyBorder="1" applyAlignment="1">
      <alignment horizontal="center" vertical="center" wrapText="1"/>
    </xf>
    <xf numFmtId="165" fontId="4" fillId="0" borderId="0" xfId="0" applyNumberFormat="1" applyFont="1" applyBorder="1"/>
    <xf numFmtId="164" fontId="4" fillId="0" borderId="0" xfId="3" applyNumberFormat="1" applyFont="1" applyBorder="1"/>
    <xf numFmtId="0" fontId="4" fillId="0" borderId="0" xfId="0" applyFont="1" applyBorder="1"/>
    <xf numFmtId="170" fontId="4" fillId="0" borderId="11" xfId="0" applyNumberFormat="1" applyFont="1" applyBorder="1"/>
    <xf numFmtId="0" fontId="4" fillId="0" borderId="12" xfId="0" applyFont="1" applyBorder="1"/>
    <xf numFmtId="169" fontId="4" fillId="0" borderId="13" xfId="0" applyNumberFormat="1" applyFont="1" applyBorder="1" applyAlignment="1">
      <alignment horizontal="center" vertical="center" wrapText="1"/>
    </xf>
    <xf numFmtId="43" fontId="4" fillId="0" borderId="13" xfId="0" applyNumberFormat="1" applyFont="1" applyBorder="1" applyAlignment="1">
      <alignment horizontal="center" vertical="center" wrapText="1"/>
    </xf>
    <xf numFmtId="3" fontId="4" fillId="0" borderId="13" xfId="0" applyNumberFormat="1" applyFont="1" applyBorder="1" applyAlignment="1">
      <alignment horizontal="center" vertical="center" wrapText="1"/>
    </xf>
    <xf numFmtId="0" fontId="4" fillId="0" borderId="13" xfId="0" applyNumberFormat="1" applyFont="1" applyBorder="1" applyAlignment="1">
      <alignment horizontal="center" vertical="center" wrapText="1"/>
    </xf>
    <xf numFmtId="167" fontId="4" fillId="0" borderId="13" xfId="0" applyNumberFormat="1" applyFont="1" applyBorder="1" applyAlignment="1">
      <alignment horizontal="center" vertical="center" wrapText="1"/>
    </xf>
    <xf numFmtId="166" fontId="4" fillId="0" borderId="13" xfId="0" applyNumberFormat="1" applyFont="1" applyBorder="1" applyAlignment="1">
      <alignment horizontal="center" vertical="center" wrapText="1"/>
    </xf>
    <xf numFmtId="9" fontId="4" fillId="0" borderId="13" xfId="0" applyNumberFormat="1" applyFont="1" applyBorder="1" applyAlignment="1">
      <alignment horizontal="center" vertical="center" wrapText="1"/>
    </xf>
    <xf numFmtId="165" fontId="4" fillId="0" borderId="13" xfId="0" applyNumberFormat="1" applyFont="1" applyBorder="1"/>
    <xf numFmtId="164" fontId="4" fillId="0" borderId="13" xfId="3" applyNumberFormat="1" applyFont="1" applyBorder="1"/>
    <xf numFmtId="0" fontId="4" fillId="0" borderId="14" xfId="0" applyFont="1" applyBorder="1"/>
    <xf numFmtId="43" fontId="4" fillId="0" borderId="11" xfId="0" applyNumberFormat="1" applyFont="1" applyBorder="1" applyAlignment="1">
      <alignment horizontal="center" vertical="center" wrapText="1"/>
    </xf>
    <xf numFmtId="43" fontId="4" fillId="0" borderId="15" xfId="0" applyNumberFormat="1" applyFont="1" applyBorder="1" applyAlignment="1">
      <alignment horizontal="center" vertical="center" wrapText="1"/>
    </xf>
    <xf numFmtId="165" fontId="4" fillId="0" borderId="16" xfId="0" applyNumberFormat="1" applyFont="1" applyBorder="1"/>
    <xf numFmtId="0" fontId="4" fillId="0" borderId="17" xfId="0" applyFont="1" applyBorder="1"/>
    <xf numFmtId="165" fontId="4" fillId="0" borderId="17" xfId="0" applyNumberFormat="1" applyFont="1" applyBorder="1"/>
    <xf numFmtId="165" fontId="4" fillId="0" borderId="18" xfId="0" applyNumberFormat="1" applyFont="1" applyBorder="1"/>
    <xf numFmtId="165" fontId="4" fillId="0" borderId="11" xfId="0" applyNumberFormat="1" applyFont="1" applyBorder="1"/>
    <xf numFmtId="165" fontId="4" fillId="0" borderId="12" xfId="0" applyNumberFormat="1" applyFont="1" applyBorder="1"/>
    <xf numFmtId="165" fontId="4" fillId="0" borderId="15" xfId="0" applyNumberFormat="1" applyFont="1" applyBorder="1"/>
    <xf numFmtId="165" fontId="4" fillId="0" borderId="14" xfId="0" applyNumberFormat="1" applyFont="1" applyBorder="1"/>
    <xf numFmtId="0" fontId="4" fillId="0" borderId="16" xfId="0" applyFont="1" applyBorder="1"/>
    <xf numFmtId="0" fontId="4" fillId="0" borderId="18" xfId="0" applyFont="1" applyBorder="1"/>
    <xf numFmtId="0" fontId="4" fillId="0" borderId="11" xfId="0" applyFont="1" applyBorder="1"/>
    <xf numFmtId="164" fontId="4" fillId="0" borderId="11" xfId="3" applyNumberFormat="1" applyFont="1" applyBorder="1"/>
    <xf numFmtId="164" fontId="4" fillId="0" borderId="12" xfId="3" applyNumberFormat="1" applyFont="1" applyBorder="1"/>
    <xf numFmtId="164" fontId="4" fillId="0" borderId="15" xfId="3" applyNumberFormat="1" applyFont="1" applyBorder="1"/>
    <xf numFmtId="164" fontId="4" fillId="0" borderId="14" xfId="3" applyNumberFormat="1" applyFont="1" applyBorder="1"/>
    <xf numFmtId="165" fontId="4" fillId="3" borderId="0" xfId="0" applyNumberFormat="1" applyFont="1" applyFill="1" applyBorder="1"/>
    <xf numFmtId="0" fontId="4" fillId="0" borderId="11" xfId="0" applyNumberFormat="1" applyFont="1" applyBorder="1"/>
    <xf numFmtId="0" fontId="4" fillId="0" borderId="15" xfId="0" applyNumberFormat="1" applyFont="1" applyBorder="1"/>
    <xf numFmtId="169" fontId="4" fillId="0" borderId="17" xfId="0" applyNumberFormat="1" applyFont="1" applyBorder="1"/>
    <xf numFmtId="43" fontId="4" fillId="0" borderId="17" xfId="0" applyNumberFormat="1" applyFont="1" applyBorder="1"/>
    <xf numFmtId="3" fontId="4" fillId="0" borderId="17" xfId="0" applyNumberFormat="1" applyFont="1" applyBorder="1"/>
    <xf numFmtId="0" fontId="4" fillId="0" borderId="17" xfId="0" applyNumberFormat="1" applyFont="1" applyBorder="1"/>
    <xf numFmtId="167" fontId="4" fillId="0" borderId="17" xfId="0" applyNumberFormat="1" applyFont="1" applyBorder="1"/>
    <xf numFmtId="166" fontId="4" fillId="0" borderId="17" xfId="0" applyNumberFormat="1" applyFont="1" applyBorder="1"/>
    <xf numFmtId="9" fontId="4" fillId="0" borderId="17" xfId="0" applyNumberFormat="1" applyFont="1" applyBorder="1"/>
    <xf numFmtId="165" fontId="4" fillId="3" borderId="11" xfId="0" applyNumberFormat="1" applyFont="1" applyFill="1" applyBorder="1"/>
    <xf numFmtId="0" fontId="4" fillId="0" borderId="0" xfId="0" applyFont="1" applyAlignment="1">
      <alignment horizontal="center"/>
    </xf>
    <xf numFmtId="169" fontId="4" fillId="0" borderId="0" xfId="0" applyNumberFormat="1" applyFont="1" applyBorder="1"/>
    <xf numFmtId="0" fontId="4" fillId="0" borderId="15" xfId="0" applyFont="1" applyBorder="1"/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1" applyFont="1" applyFill="1" applyBorder="1" applyAlignment="1">
      <alignment horizontal="center" vertical="center" wrapText="1"/>
    </xf>
    <xf numFmtId="0" fontId="4" fillId="0" borderId="8" xfId="0" applyFont="1" applyBorder="1"/>
    <xf numFmtId="165" fontId="4" fillId="0" borderId="0" xfId="0" applyNumberFormat="1" applyFont="1" applyAlignment="1">
      <alignment horizontal="center"/>
    </xf>
    <xf numFmtId="0" fontId="4" fillId="0" borderId="2" xfId="2" applyFont="1" applyFill="1" applyBorder="1" applyAlignment="1">
      <alignment horizontal="center" vertical="center"/>
    </xf>
    <xf numFmtId="0" fontId="4" fillId="0" borderId="6" xfId="1" applyFont="1" applyFill="1" applyBorder="1" applyAlignment="1">
      <alignment horizontal="center" vertical="center"/>
    </xf>
    <xf numFmtId="165" fontId="4" fillId="0" borderId="0" xfId="1" applyNumberFormat="1" applyFont="1" applyFill="1" applyAlignment="1">
      <alignment horizontal="center" vertical="center"/>
    </xf>
    <xf numFmtId="0" fontId="4" fillId="0" borderId="0" xfId="0" applyFont="1" applyFill="1"/>
    <xf numFmtId="165" fontId="4" fillId="0" borderId="0" xfId="0" applyNumberFormat="1" applyFont="1" applyFill="1"/>
    <xf numFmtId="171" fontId="4" fillId="0" borderId="18" xfId="0" applyNumberFormat="1" applyFont="1" applyBorder="1"/>
    <xf numFmtId="169" fontId="4" fillId="0" borderId="14" xfId="0" applyNumberFormat="1" applyFont="1" applyBorder="1"/>
    <xf numFmtId="169" fontId="4" fillId="0" borderId="18" xfId="0" applyNumberFormat="1" applyFont="1" applyBorder="1"/>
    <xf numFmtId="0" fontId="4" fillId="0" borderId="10" xfId="0" applyFont="1" applyBorder="1"/>
    <xf numFmtId="170" fontId="4" fillId="0" borderId="20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172" fontId="4" fillId="0" borderId="0" xfId="0" applyNumberFormat="1" applyFont="1"/>
    <xf numFmtId="167" fontId="4" fillId="0" borderId="0" xfId="0" applyNumberFormat="1" applyFont="1"/>
    <xf numFmtId="0" fontId="4" fillId="0" borderId="19" xfId="0" applyFont="1" applyBorder="1"/>
    <xf numFmtId="10" fontId="4" fillId="0" borderId="0" xfId="0" applyNumberFormat="1" applyFont="1" applyAlignment="1">
      <alignment horizontal="center"/>
    </xf>
    <xf numFmtId="0" fontId="7" fillId="4" borderId="22" xfId="0" applyFont="1" applyFill="1" applyBorder="1" applyAlignment="1">
      <alignment horizontal="right"/>
    </xf>
    <xf numFmtId="0" fontId="7" fillId="4" borderId="23" xfId="0" applyFont="1" applyFill="1" applyBorder="1" applyAlignment="1">
      <alignment horizontal="right"/>
    </xf>
    <xf numFmtId="0" fontId="7" fillId="4" borderId="24" xfId="0" applyFont="1" applyFill="1" applyBorder="1" applyAlignment="1">
      <alignment horizontal="right"/>
    </xf>
    <xf numFmtId="0" fontId="2" fillId="5" borderId="23" xfId="0" applyFont="1" applyFill="1" applyBorder="1" applyAlignment="1">
      <alignment horizontal="center"/>
    </xf>
    <xf numFmtId="3" fontId="2" fillId="5" borderId="23" xfId="0" applyNumberFormat="1" applyFont="1" applyFill="1" applyBorder="1" applyAlignment="1">
      <alignment horizontal="center"/>
    </xf>
    <xf numFmtId="0" fontId="2" fillId="5" borderId="24" xfId="0" applyFont="1" applyFill="1" applyBorder="1" applyAlignment="1">
      <alignment horizontal="center"/>
    </xf>
    <xf numFmtId="0" fontId="2" fillId="6" borderId="22" xfId="0" applyFont="1" applyFill="1" applyBorder="1" applyAlignment="1">
      <alignment horizontal="center"/>
    </xf>
    <xf numFmtId="0" fontId="2" fillId="6" borderId="24" xfId="0" applyFont="1" applyFill="1" applyBorder="1" applyAlignment="1">
      <alignment horizontal="center"/>
    </xf>
    <xf numFmtId="0" fontId="8" fillId="5" borderId="23" xfId="0" applyFont="1" applyFill="1" applyBorder="1" applyAlignment="1">
      <alignment horizontal="center"/>
    </xf>
    <xf numFmtId="166" fontId="8" fillId="5" borderId="23" xfId="0" applyNumberFormat="1" applyFont="1" applyFill="1" applyBorder="1" applyAlignment="1">
      <alignment horizontal="center"/>
    </xf>
  </cellXfs>
  <cellStyles count="4">
    <cellStyle name="Normal" xfId="0" builtinId="0"/>
    <cellStyle name="Normal_Btp Nov 2029 strippable" xfId="1"/>
    <cellStyle name="Normal_SwaptionATMVols" xfId="2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00"/>
      <rgbColor rgb="00000000"/>
      <rgbColor rgb="00000000"/>
      <rgbColor rgb="00000000"/>
      <rgbColor rgb="00000000"/>
      <rgbColor rgb="00008000"/>
      <rgbColor rgb="00000000"/>
      <rgbColor rgb="00808000"/>
      <rgbColor rgb="00000000"/>
      <rgbColor rgb="00000000"/>
      <rgbColor rgb="00C0C0C0"/>
      <rgbColor rgb="00808080"/>
      <rgbColor rgb="009999FF"/>
      <rgbColor rgb="00000000"/>
      <rgbColor rgb="00FFFFCC"/>
      <rgbColor rgb="0000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17:49:41</v>
        <stp/>
        <stp>{9DAD7A84-A880-4D08-A9B8-F283A03E4C69}</stp>
        <tr r="U1" s="4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701804368471035"/>
          <c:y val="2.0779220779220779E-2"/>
        </c:manualLayout>
      </c:layout>
      <c:overlay val="0"/>
      <c:txPr>
        <a:bodyPr/>
        <a:lstStyle/>
        <a:p>
          <a:pPr>
            <a:defRPr sz="1600"/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5498680525897727E-2"/>
          <c:y val="0.14285732403779935"/>
          <c:w val="0.88461661521853752"/>
          <c:h val="0.7038969966226114"/>
        </c:manualLayout>
      </c:layout>
      <c:scatterChart>
        <c:scatterStyle val="lineMarker"/>
        <c:varyColors val="0"/>
        <c:ser>
          <c:idx val="1"/>
          <c:order val="0"/>
          <c:tx>
            <c:v>Yield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BtpCurve!$D$3:$D$32</c:f>
              <c:numCache>
                <c:formatCode>ddd\,\ d\-mmm\-yyyy</c:formatCode>
                <c:ptCount val="30"/>
                <c:pt idx="0">
                  <c:v>42217</c:v>
                </c:pt>
                <c:pt idx="1">
                  <c:v>42309</c:v>
                </c:pt>
                <c:pt idx="2">
                  <c:v>42475</c:v>
                </c:pt>
                <c:pt idx="3">
                  <c:v>42583</c:v>
                </c:pt>
                <c:pt idx="4">
                  <c:v>42628</c:v>
                </c:pt>
                <c:pt idx="5">
                  <c:v>42767</c:v>
                </c:pt>
                <c:pt idx="6">
                  <c:v>42856</c:v>
                </c:pt>
                <c:pt idx="7">
                  <c:v>42887</c:v>
                </c:pt>
                <c:pt idx="8">
                  <c:v>42948</c:v>
                </c:pt>
                <c:pt idx="9">
                  <c:v>43040</c:v>
                </c:pt>
                <c:pt idx="10">
                  <c:v>43132</c:v>
                </c:pt>
                <c:pt idx="11">
                  <c:v>43252</c:v>
                </c:pt>
                <c:pt idx="12">
                  <c:v>43313</c:v>
                </c:pt>
                <c:pt idx="13">
                  <c:v>43435</c:v>
                </c:pt>
                <c:pt idx="14">
                  <c:v>43497</c:v>
                </c:pt>
                <c:pt idx="15">
                  <c:v>43525</c:v>
                </c:pt>
                <c:pt idx="16">
                  <c:v>43709</c:v>
                </c:pt>
                <c:pt idx="17">
                  <c:v>43862</c:v>
                </c:pt>
                <c:pt idx="18">
                  <c:v>43891</c:v>
                </c:pt>
                <c:pt idx="19">
                  <c:v>44075</c:v>
                </c:pt>
                <c:pt idx="20">
                  <c:v>44256</c:v>
                </c:pt>
                <c:pt idx="21">
                  <c:v>44317</c:v>
                </c:pt>
                <c:pt idx="22">
                  <c:v>44409</c:v>
                </c:pt>
                <c:pt idx="23">
                  <c:v>44440</c:v>
                </c:pt>
                <c:pt idx="24">
                  <c:v>44621</c:v>
                </c:pt>
                <c:pt idx="25">
                  <c:v>44805</c:v>
                </c:pt>
                <c:pt idx="26">
                  <c:v>44866</c:v>
                </c:pt>
                <c:pt idx="27">
                  <c:v>45047</c:v>
                </c:pt>
                <c:pt idx="28">
                  <c:v>45139</c:v>
                </c:pt>
                <c:pt idx="29">
                  <c:v>45231</c:v>
                </c:pt>
              </c:numCache>
            </c:numRef>
          </c:xVal>
          <c:yVal>
            <c:numRef>
              <c:f>BtpCurve!$Z$3:$Z$32</c:f>
              <c:numCache>
                <c:formatCode>0.000%</c:formatCode>
                <c:ptCount val="30"/>
                <c:pt idx="0">
                  <c:v>4.5381417829835373E-3</c:v>
                </c:pt>
                <c:pt idx="1">
                  <c:v>5.354994058646265E-3</c:v>
                </c:pt>
                <c:pt idx="2">
                  <c:v>6.4792836937379392E-3</c:v>
                </c:pt>
                <c:pt idx="3">
                  <c:v>7.7138133610412489E-3</c:v>
                </c:pt>
                <c:pt idx="4">
                  <c:v>8.1969606359522003E-3</c:v>
                </c:pt>
                <c:pt idx="5">
                  <c:v>8.8370719502493776E-3</c:v>
                </c:pt>
                <c:pt idx="6">
                  <c:v>9.4027127774432319E-3</c:v>
                </c:pt>
                <c:pt idx="7">
                  <c:v>9.5768023573979781E-3</c:v>
                </c:pt>
                <c:pt idx="8">
                  <c:v>9.673786440826955E-3</c:v>
                </c:pt>
                <c:pt idx="9">
                  <c:v>9.8110354587817826E-3</c:v>
                </c:pt>
                <c:pt idx="10">
                  <c:v>1.0444850408993667E-2</c:v>
                </c:pt>
                <c:pt idx="11">
                  <c:v>1.1183536151312297E-2</c:v>
                </c:pt>
                <c:pt idx="12">
                  <c:v>1.1325970684550709E-2</c:v>
                </c:pt>
                <c:pt idx="13">
                  <c:v>1.154742463649059E-2</c:v>
                </c:pt>
                <c:pt idx="14">
                  <c:v>1.1761555160023276E-2</c:v>
                </c:pt>
                <c:pt idx="15">
                  <c:v>1.1948608110584322E-2</c:v>
                </c:pt>
                <c:pt idx="16">
                  <c:v>1.2928594998048099E-2</c:v>
                </c:pt>
                <c:pt idx="17">
                  <c:v>1.4145085156150171E-2</c:v>
                </c:pt>
                <c:pt idx="18">
                  <c:v>1.4264731198586525E-2</c:v>
                </c:pt>
                <c:pt idx="19">
                  <c:v>1.5748138724528266E-2</c:v>
                </c:pt>
                <c:pt idx="20">
                  <c:v>1.7237181555633693E-2</c:v>
                </c:pt>
                <c:pt idx="21">
                  <c:v>1.8214912306144835E-2</c:v>
                </c:pt>
                <c:pt idx="22">
                  <c:v>1.8752027875557551E-2</c:v>
                </c:pt>
                <c:pt idx="23">
                  <c:v>1.8959075519070032E-2</c:v>
                </c:pt>
                <c:pt idx="24">
                  <c:v>2.0367514536902314E-2</c:v>
                </c:pt>
                <c:pt idx="25">
                  <c:v>2.1754210836812862E-2</c:v>
                </c:pt>
                <c:pt idx="26">
                  <c:v>2.2404052145406608E-2</c:v>
                </c:pt>
                <c:pt idx="27">
                  <c:v>2.3184091258421545E-2</c:v>
                </c:pt>
                <c:pt idx="28">
                  <c:v>2.3384478637948639E-2</c:v>
                </c:pt>
                <c:pt idx="29">
                  <c:v>2.3069975167885427E-2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110272"/>
        <c:axId val="547550720"/>
      </c:scatterChart>
      <c:valAx>
        <c:axId val="547110272"/>
        <c:scaling>
          <c:orientation val="minMax"/>
          <c:min val="40908"/>
        </c:scaling>
        <c:delete val="0"/>
        <c:axPos val="b"/>
        <c:numFmt formatCode="mmm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Courier New"/>
                <a:ea typeface="Courier New"/>
                <a:cs typeface="Courier New"/>
              </a:defRPr>
            </a:pPr>
            <a:endParaRPr lang="en-US"/>
          </a:p>
        </c:txPr>
        <c:crossAx val="547550720"/>
        <c:crosses val="autoZero"/>
        <c:crossBetween val="midCat"/>
        <c:majorUnit val="1826.25"/>
      </c:valAx>
      <c:valAx>
        <c:axId val="5475507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Courier New"/>
                <a:ea typeface="Courier New"/>
                <a:cs typeface="Courier New"/>
              </a:defRPr>
            </a:pPr>
            <a:endParaRPr lang="en-US"/>
          </a:p>
        </c:txPr>
        <c:crossAx val="547110272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450" b="0" i="0" u="none" strike="noStrike" baseline="0">
          <a:solidFill>
            <a:srgbClr val="000000"/>
          </a:solidFill>
          <a:latin typeface="Courier New"/>
          <a:ea typeface="Courier New"/>
          <a:cs typeface="Courier New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0</xdr:colOff>
      <xdr:row>1</xdr:row>
      <xdr:rowOff>0</xdr:rowOff>
    </xdr:from>
    <xdr:to>
      <xdr:col>48</xdr:col>
      <xdr:colOff>209550</xdr:colOff>
      <xdr:row>26</xdr:row>
      <xdr:rowOff>95250</xdr:rowOff>
    </xdr:to>
    <xdr:graphicFrame macro="">
      <xdr:nvGraphicFramePr>
        <xdr:cNvPr id="1091" name="Chart 6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C23"/>
  <sheetViews>
    <sheetView tabSelected="1" workbookViewId="0">
      <selection activeCell="B1" sqref="B1"/>
    </sheetView>
  </sheetViews>
  <sheetFormatPr defaultRowHeight="11.25" x14ac:dyDescent="0.2"/>
  <cols>
    <col min="1" max="1" width="25.5703125" style="33" bestFit="1" customWidth="1"/>
    <col min="2" max="2" width="31.7109375" style="33" bestFit="1" customWidth="1"/>
    <col min="3" max="3" width="15.42578125" style="33" bestFit="1" customWidth="1"/>
    <col min="4" max="4" width="13.140625" style="33" bestFit="1" customWidth="1"/>
    <col min="5" max="5" width="9.140625" style="33"/>
    <col min="6" max="7" width="15.140625" style="33" bestFit="1" customWidth="1"/>
    <col min="8" max="8" width="23.42578125" style="33" bestFit="1" customWidth="1"/>
    <col min="9" max="16384" width="9.140625" style="33"/>
  </cols>
  <sheetData>
    <row r="1" spans="1:2" x14ac:dyDescent="0.2">
      <c r="A1" s="70" t="s">
        <v>17</v>
      </c>
      <c r="B1" s="101"/>
    </row>
    <row r="2" spans="1:2" x14ac:dyDescent="0.2">
      <c r="A2" s="90" t="s">
        <v>109</v>
      </c>
      <c r="B2" s="102">
        <f>_xll.qlSettingsEvaluationDate(Trigger)</f>
        <v>41928</v>
      </c>
    </row>
    <row r="4" spans="1:2" x14ac:dyDescent="0.2">
      <c r="A4" s="70" t="s">
        <v>103</v>
      </c>
      <c r="B4" s="103">
        <f>_xll.qlCalendarAdvance("TARGET",B2,"2D")</f>
        <v>41932</v>
      </c>
    </row>
    <row r="5" spans="1:2" x14ac:dyDescent="0.2">
      <c r="A5" s="72" t="s">
        <v>16</v>
      </c>
      <c r="B5" s="49" t="s">
        <v>537</v>
      </c>
    </row>
    <row r="6" spans="1:2" x14ac:dyDescent="0.2">
      <c r="A6" s="72" t="s">
        <v>15</v>
      </c>
      <c r="B6" s="49" t="s">
        <v>13</v>
      </c>
    </row>
    <row r="7" spans="1:2" x14ac:dyDescent="0.2">
      <c r="A7" s="90" t="s">
        <v>14</v>
      </c>
      <c r="B7" s="59" t="s">
        <v>538</v>
      </c>
    </row>
    <row r="9" spans="1:2" x14ac:dyDescent="0.2">
      <c r="A9" s="70" t="s">
        <v>22</v>
      </c>
      <c r="B9" s="71" t="s">
        <v>23</v>
      </c>
    </row>
    <row r="10" spans="1:2" x14ac:dyDescent="0.2">
      <c r="A10" s="90" t="s">
        <v>24</v>
      </c>
      <c r="B10" s="59" t="b">
        <v>0</v>
      </c>
    </row>
    <row r="12" spans="1:2" x14ac:dyDescent="0.2">
      <c r="A12" s="94" t="s">
        <v>115</v>
      </c>
      <c r="B12" s="104" t="str">
        <f>VLOOKUP(ReferenceBondDescription,BtpCurve!$B$2:$K$47,10,FALSE)</f>
        <v>obj_0041d#0003</v>
      </c>
    </row>
    <row r="14" spans="1:2" x14ac:dyDescent="0.2">
      <c r="A14" s="94" t="s">
        <v>25</v>
      </c>
      <c r="B14" s="104" t="s">
        <v>539</v>
      </c>
    </row>
    <row r="16" spans="1:2" x14ac:dyDescent="0.2">
      <c r="A16" s="70" t="s">
        <v>99</v>
      </c>
      <c r="B16" s="71" t="s">
        <v>97</v>
      </c>
    </row>
    <row r="17" spans="1:3" x14ac:dyDescent="0.2">
      <c r="A17" s="90" t="s">
        <v>100</v>
      </c>
      <c r="B17" s="59" t="s">
        <v>98</v>
      </c>
    </row>
    <row r="18" spans="1:3" x14ac:dyDescent="0.2">
      <c r="A18" s="47"/>
      <c r="B18" s="47"/>
    </row>
    <row r="19" spans="1:3" x14ac:dyDescent="0.2">
      <c r="A19" s="94" t="s">
        <v>119</v>
      </c>
      <c r="B19" s="104" t="b">
        <v>0</v>
      </c>
    </row>
    <row r="20" spans="1:3" x14ac:dyDescent="0.2">
      <c r="A20" s="94" t="s">
        <v>117</v>
      </c>
      <c r="B20" s="104" t="b">
        <v>1</v>
      </c>
    </row>
    <row r="21" spans="1:3" x14ac:dyDescent="0.2">
      <c r="A21" s="94" t="s">
        <v>112</v>
      </c>
      <c r="B21" s="104" t="str">
        <f>_xll.qlPiecewiseYieldCurve(,2,"TARGET",_xll.ohFilter(BtpCurve!J2:J50,BtpCurve!AB2:AB50),,,,,YieldCurveTraits,YieldCurveInterpolation)</f>
        <v>obj_0049d#0008</v>
      </c>
    </row>
    <row r="22" spans="1:3" x14ac:dyDescent="0.2">
      <c r="A22" s="33" t="str">
        <f>_xll.ohRangeRetrieveError(BtpCurve)</f>
        <v/>
      </c>
      <c r="B22" s="33" t="b">
        <f>_xll.qlExtrapolatorEnableExtrapolation(BtpCurve,C22)</f>
        <v>1</v>
      </c>
      <c r="C22" s="33" t="b">
        <v>1</v>
      </c>
    </row>
    <row r="23" spans="1:3" x14ac:dyDescent="0.2">
      <c r="B23" s="33">
        <f ca="1">_xll.ohTrigger(BtpCurve!N2:O41,PriceSelector)</f>
        <v>221</v>
      </c>
    </row>
  </sheetData>
  <phoneticPr fontId="2" type="noConversion"/>
  <dataValidations count="5">
    <dataValidation type="list" allowBlank="1" showInputMessage="1" showErrorMessage="1" sqref="B16">
      <formula1>"Discount,ZeroYield,ForwardRate"</formula1>
    </dataValidation>
    <dataValidation type="list" allowBlank="1" showInputMessage="1" showErrorMessage="1" sqref="B17:B18">
      <formula1>"BackwardFlat,ForwardFlat,Linear,LogLinear,Parabolic,LogParabolic,MonotonicParabolic,MonotonicLogParabolic,CubicNaturalSpline,MonotonicCubicNaturalSpline,LogCubicNaturalSpline,MonotonicLogCubicNaturalSpline,KrugerCubic,KrugerLogCubic,FritschButlandCubic,Fr"</formula1>
    </dataValidation>
    <dataValidation type="list" allowBlank="1" showInputMessage="1" showErrorMessage="1" sqref="B5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B6">
      <formula1>"Simple,Compounded,Continuous,SimpleThenCompounded"</formula1>
    </dataValidation>
    <dataValidation type="list" allowBlank="1" showInputMessage="1" showErrorMessage="1" sqref="B7">
      <formula1>"Annual,Semiannual,EveryFourthMonth,Quarterly,Bimonthly,Monthly,Biweekly,Weekly,Daily,Once,NoFrequency"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L75"/>
  <sheetViews>
    <sheetView workbookViewId="0">
      <selection activeCell="B1" sqref="B1"/>
    </sheetView>
  </sheetViews>
  <sheetFormatPr defaultColWidth="8" defaultRowHeight="11.25" outlineLevelRow="1" outlineLevelCol="1" x14ac:dyDescent="0.2"/>
  <cols>
    <col min="1" max="1" width="2.28515625" style="2" customWidth="1"/>
    <col min="2" max="2" width="22.42578125" style="2" bestFit="1" customWidth="1"/>
    <col min="3" max="3" width="13.140625" style="2" bestFit="1" customWidth="1"/>
    <col min="4" max="4" width="17.28515625" style="2" customWidth="1"/>
    <col min="5" max="5" width="8" style="2" hidden="1" customWidth="1" outlineLevel="1"/>
    <col min="6" max="6" width="11" style="2" hidden="1" customWidth="1" outlineLevel="1"/>
    <col min="7" max="8" width="19.28515625" style="2" hidden="1" customWidth="1" outlineLevel="1"/>
    <col min="9" max="12" width="15.140625" style="2" hidden="1" customWidth="1" outlineLevel="1"/>
    <col min="13" max="13" width="10" style="2" hidden="1" customWidth="1" outlineLevel="1"/>
    <col min="14" max="15" width="8.140625" style="2" hidden="1" customWidth="1" outlineLevel="1"/>
    <col min="16" max="16" width="9" style="2" bestFit="1" customWidth="1" collapsed="1"/>
    <col min="17" max="17" width="8" style="2" bestFit="1" customWidth="1"/>
    <col min="18" max="18" width="7" style="2" bestFit="1" customWidth="1"/>
    <col min="19" max="20" width="10" style="2" hidden="1" customWidth="1" outlineLevel="1"/>
    <col min="21" max="21" width="12" style="2" hidden="1" customWidth="1" outlineLevel="1"/>
    <col min="22" max="25" width="8.140625" style="2" hidden="1" customWidth="1" outlineLevel="1"/>
    <col min="26" max="26" width="10" style="2" bestFit="1" customWidth="1" collapsed="1"/>
    <col min="27" max="27" width="8" style="2" customWidth="1"/>
    <col min="28" max="28" width="9.7109375" style="2" customWidth="1"/>
    <col min="29" max="29" width="8" style="2" bestFit="1" customWidth="1"/>
    <col min="30" max="30" width="2.28515625" style="2" customWidth="1"/>
    <col min="31" max="31" width="1.7109375" style="2" customWidth="1"/>
    <col min="32" max="33" width="19.28515625" style="2" hidden="1" customWidth="1" outlineLevel="1"/>
    <col min="34" max="35" width="8" style="2" hidden="1" customWidth="1" outlineLevel="1"/>
    <col min="36" max="36" width="7" style="2" hidden="1" customWidth="1" outlineLevel="1"/>
    <col min="37" max="37" width="8" style="2" hidden="1" customWidth="1" outlineLevel="1"/>
    <col min="38" max="38" width="12" style="2" bestFit="1" customWidth="1" collapsed="1"/>
    <col min="39" max="39" width="13.140625" style="2" bestFit="1" customWidth="1"/>
    <col min="40" max="16384" width="8" style="2"/>
  </cols>
  <sheetData>
    <row r="1" spans="1:37" ht="33.75" x14ac:dyDescent="0.2">
      <c r="A1" s="3"/>
      <c r="B1" s="13" t="s">
        <v>2</v>
      </c>
      <c r="C1" s="14" t="s">
        <v>108</v>
      </c>
      <c r="D1" s="14" t="s">
        <v>3</v>
      </c>
      <c r="E1" s="14" t="s">
        <v>4</v>
      </c>
      <c r="F1" s="15" t="s">
        <v>5</v>
      </c>
      <c r="G1" s="14" t="s">
        <v>104</v>
      </c>
      <c r="H1" s="13" t="s">
        <v>107</v>
      </c>
      <c r="I1" s="93" t="s">
        <v>110</v>
      </c>
      <c r="J1" s="20" t="s">
        <v>12</v>
      </c>
      <c r="K1" s="21" t="s">
        <v>111</v>
      </c>
      <c r="L1" s="14" t="str">
        <f>_xll.qlBondEngine(,'General Settings'!B21)</f>
        <v>obj_0049e#0008</v>
      </c>
      <c r="M1" s="14" t="s">
        <v>18</v>
      </c>
      <c r="N1" s="13" t="s">
        <v>105</v>
      </c>
      <c r="O1" s="15" t="s">
        <v>106</v>
      </c>
      <c r="P1" s="13" t="s">
        <v>19</v>
      </c>
      <c r="Q1" s="14" t="s">
        <v>31</v>
      </c>
      <c r="R1" s="15" t="s">
        <v>26</v>
      </c>
      <c r="S1" s="13" t="s">
        <v>20</v>
      </c>
      <c r="T1" s="14" t="s">
        <v>21</v>
      </c>
      <c r="U1" s="14" t="str">
        <f>_xll.RData(U2:U47,V1:W1,"RTFEED:IDN",,,V2)</f>
        <v>Updated at 17:49:41</v>
      </c>
      <c r="V1" s="14" t="s">
        <v>0</v>
      </c>
      <c r="W1" s="14" t="s">
        <v>1</v>
      </c>
      <c r="X1" s="14" t="s">
        <v>500</v>
      </c>
      <c r="Y1" s="15" t="s">
        <v>501</v>
      </c>
      <c r="Z1" s="14" t="s">
        <v>6</v>
      </c>
      <c r="AA1" s="14" t="s">
        <v>114</v>
      </c>
      <c r="AB1" s="14" t="s">
        <v>113</v>
      </c>
      <c r="AC1" s="15" t="s">
        <v>27</v>
      </c>
      <c r="AD1" s="10"/>
      <c r="AF1" s="34" t="s">
        <v>30</v>
      </c>
      <c r="AG1" s="34" t="s">
        <v>32</v>
      </c>
      <c r="AH1" s="34" t="s">
        <v>0</v>
      </c>
      <c r="AI1" s="34" t="s">
        <v>1</v>
      </c>
      <c r="AJ1" s="34" t="s">
        <v>96</v>
      </c>
      <c r="AK1" s="34" t="s">
        <v>95</v>
      </c>
    </row>
    <row r="2" spans="1:37" x14ac:dyDescent="0.2">
      <c r="A2" s="4"/>
      <c r="B2" s="22" t="str">
        <f>IF(ISNA(C2),NA(),_xll.qlBondDescription(C2,Trigger))</f>
        <v>BTP 2015-02-01 4.25%</v>
      </c>
      <c r="C2" s="16" t="str">
        <f t="array" ref="C2:C50">_xll.qlBondAlive(_xll.ohGroupList("StrippableBTPs",Trigger))</f>
        <v>IT0003719918</v>
      </c>
      <c r="D2" s="18">
        <f>IF(ISNA(C2),NA(),_xll.qlBondMaturityDate(C2,Trigger))</f>
        <v>42036</v>
      </c>
      <c r="E2" s="19">
        <f>IF(ISNA(C2),NA(),_xll.qlBondNextCouponRate(C2,BondSettlementDate))</f>
        <v>4.2500000000000003E-2</v>
      </c>
      <c r="F2" s="30">
        <f>IF(ISNA(C2),NA(),_xll.qlBondRedemptionAmount(C2,Trigger))</f>
        <v>100</v>
      </c>
      <c r="G2" s="17" t="str">
        <f>$C2&amp;"_Quote"</f>
        <v>IT0003719918_Quote</v>
      </c>
      <c r="H2" s="27" t="str">
        <f>G2</f>
        <v>IT0003719918_Quote</v>
      </c>
      <c r="I2" s="16" t="str">
        <f>IF(LEFT(B2,3)="BTP",_xll.qlBTP2(,B2,D2,E2,F2,,,,Trigger),_xll.qlCCTEU(,B2,D2,E2,F2,,,,Trigger))</f>
        <v>obj_00411#0003</v>
      </c>
      <c r="J2" s="31" t="str">
        <f>_xll.qlBondHelper(,H2,I2)</f>
        <v>obj_00488#0003</v>
      </c>
      <c r="K2" s="26" t="str">
        <f>_xll.qlBTP2(,B2,D2,E2,F2,,,,Trigger)</f>
        <v>obj_0041b#0003</v>
      </c>
      <c r="L2" s="26" t="b">
        <f>_xll.qlInstrumentSetPricingEngine(K2,BondPricingEngine)</f>
        <v>1</v>
      </c>
      <c r="M2" s="23">
        <f ca="1">_xll.qlBondCleanPrice(K2,AND(ISERROR(L2),ISERROR(N2)))</f>
        <v>101.10600304347822</v>
      </c>
      <c r="N2" s="27">
        <f ca="1">_xll.qlSimpleQuoteSetValue(G2,P2)</f>
        <v>0</v>
      </c>
      <c r="O2" s="29" t="e">
        <f>_xll.qlSimpleQuoteSetValue(#REF!,Q2)</f>
        <v>#VALUE!</v>
      </c>
      <c r="P2" s="27">
        <f t="shared" ref="P2:P33" ca="1" si="0">IF(ISNA(C2),NA(),IF(ISERROR((X2+Y2)/2),IF(PriceSelector="MID",(V2+W2)/2,IF(PriceSelector="BID",V2,W2)),IF(PriceSelector="MID",(X2+Y2)/2,IF(PriceSelector="BID",X2,Y2))))</f>
        <v>101.10599999999999</v>
      </c>
      <c r="Q2" s="23">
        <f t="shared" ref="Q2:Q33" si="1">IF(ISNA(C2),NA(),IF(IgnoreResiduePremium,0,(S2+T2)/2))</f>
        <v>0</v>
      </c>
      <c r="R2" s="24">
        <f t="shared" ref="R2:R33" si="2">IF(ISNA(C2),NA(),W2-V2)</f>
        <v>0.14800000000001035</v>
      </c>
      <c r="S2" s="28" t="e">
        <f>AH2-AJ2</f>
        <v>#VALUE!</v>
      </c>
      <c r="T2" s="23" t="e">
        <f>AI2-AK2</f>
        <v>#VALUE!</v>
      </c>
      <c r="U2" s="26" t="str">
        <f t="shared" ref="U2:U33" si="3">"IT"&amp;(LEFT(RIGHT(C2,7),6)*1)&amp;"=TT"</f>
        <v>IT371991=TT</v>
      </c>
      <c r="V2" s="23">
        <v>101.032</v>
      </c>
      <c r="W2" s="23">
        <v>101.18</v>
      </c>
      <c r="X2" s="17" t="e">
        <f ca="1">_xll.MKV("EUR.PRICING.XLS_GOVIES."&amp;$C2,X$1)</f>
        <v>#NAME?</v>
      </c>
      <c r="Y2" s="17" t="e">
        <f ca="1">_xll.MKV("EUR.PRICING.XLS_GOVIES."&amp;$C2,Y$1)</f>
        <v>#NAME?</v>
      </c>
      <c r="Z2" s="25">
        <f ca="1">IF(ISNA(C2),NA(),_xll.qlBondYieldFromCleanPrice(C2,P2,YieldDayCounter,YieldCompounding,YieldFrequency))</f>
        <v>3.2696710206195751E-3</v>
      </c>
      <c r="AA2" s="19" t="b">
        <v>1</v>
      </c>
      <c r="AB2" s="26" t="b">
        <f t="shared" ref="AB2:AB33" si="4">IF(ISNA(C2),FALSE,IF(OR(LEFT(B2,3)="CCT",ExcludeMarchSeptember,AND(NOT(IgnoreResiduePremium),Q2=0)),FALSE,IF((AA2),TRUE,FALSE)))</f>
        <v>1</v>
      </c>
      <c r="AC2" s="24">
        <f ca="1">IF(ISNA(C2),NA(),M2-_xll.qlQuoteValue(H2))</f>
        <v>3.0434782303245811E-6</v>
      </c>
      <c r="AD2" s="11"/>
      <c r="AE2" s="1"/>
      <c r="AF2" s="33" t="e">
        <f>_xll.qlBondDescription(#REF!,Trigger)</f>
        <v>#VALUE!</v>
      </c>
      <c r="AG2" s="33" t="e">
        <f>"STRIP."&amp;#REF!</f>
        <v>#REF!</v>
      </c>
      <c r="AH2" s="32" t="e">
        <f>IF(ISNA($AG2),0,_xll.RtGet("DTSIMI2",$AG2,AH$1))</f>
        <v>#VALUE!</v>
      </c>
      <c r="AI2" s="32" t="e">
        <f>IF(ISNA($AG2),0,_xll.RtGet("DTSIMI2",$AG2,AI$1))</f>
        <v>#VALUE!</v>
      </c>
      <c r="AJ2" s="1" t="e">
        <f>IF(ISNA($AG2),0,VLOOKUP($D2,Contribution!$B$4:$B$102,2,FALSE))</f>
        <v>#REF!</v>
      </c>
      <c r="AK2" s="1" t="e">
        <f>IF(ISNA($AG2),0,VLOOKUP($D2,Contribution!$B$4:$B$102,3,FALSE))</f>
        <v>#REF!</v>
      </c>
    </row>
    <row r="3" spans="1:37" x14ac:dyDescent="0.2">
      <c r="A3" s="4"/>
      <c r="B3" s="22" t="str">
        <f>IF(ISNA(C3),NA(),_xll.qlBondDescription(C3,Trigger))</f>
        <v>BTP 2015-08-01 3.75%</v>
      </c>
      <c r="C3" s="16" t="str">
        <v>IT0003844534</v>
      </c>
      <c r="D3" s="18">
        <f>IF(ISNA(C3),NA(),_xll.qlBondMaturityDate(C3,Trigger))</f>
        <v>42217</v>
      </c>
      <c r="E3" s="19">
        <f>IF(ISNA(C3),NA(),_xll.qlBondNextCouponRate(C3,BondSettlementDate))</f>
        <v>3.7499999999999999E-2</v>
      </c>
      <c r="F3" s="30">
        <f>IF(ISNA(C3),NA(),_xll.qlBondRedemptionAmount(C3,Trigger))</f>
        <v>100</v>
      </c>
      <c r="G3" s="17" t="str">
        <f t="shared" ref="G3:G50" si="5">$C3&amp;"_Quote"</f>
        <v>IT0003844534_Quote</v>
      </c>
      <c r="H3" s="27" t="str">
        <f t="shared" ref="H3:H50" si="6">G3</f>
        <v>IT0003844534_Quote</v>
      </c>
      <c r="I3" s="16" t="str">
        <f>IF(LEFT(B3,3)="BTP",_xll.qlBTP2(,B3,D3,E3,F3,,,,Trigger),_xll.qlCCTEU(,B3,D3,E3,F3,,,,Trigger))</f>
        <v>obj_00419#0003</v>
      </c>
      <c r="J3" s="31" t="str">
        <f>_xll.qlBondHelper(,H3,I3)</f>
        <v>obj_00483#0003</v>
      </c>
      <c r="K3" s="26" t="str">
        <f>_xll.qlBTP2(,B3,D3,E3,F3,,,,Trigger)</f>
        <v>obj_00413#0003</v>
      </c>
      <c r="L3" s="26" t="b">
        <f>_xll.qlInstrumentSetPricingEngine(K3,BondPricingEngine)</f>
        <v>1</v>
      </c>
      <c r="M3" s="23">
        <f ca="1">_xll.qlBondCleanPrice(K3,AND(ISERROR(L3),ISERROR(N3)))</f>
        <v>102.56949739130435</v>
      </c>
      <c r="N3" s="27">
        <f ca="1">_xll.qlSimpleQuoteSetValue(G3,P3)</f>
        <v>0</v>
      </c>
      <c r="O3" s="29" t="e">
        <f>_xll.qlSimpleQuoteSetValue(#REF!,Q3)</f>
        <v>#VALUE!</v>
      </c>
      <c r="P3" s="27">
        <f t="shared" ca="1" si="0"/>
        <v>102.56950000000001</v>
      </c>
      <c r="Q3" s="23">
        <f t="shared" si="1"/>
        <v>0</v>
      </c>
      <c r="R3" s="24">
        <f t="shared" si="2"/>
        <v>8.7000000000003297E-2</v>
      </c>
      <c r="S3" s="28" t="e">
        <f t="shared" ref="S3:S41" si="7">AH3-AJ3</f>
        <v>#VALUE!</v>
      </c>
      <c r="T3" s="23" t="e">
        <f t="shared" ref="T3:T41" si="8">AI3-AK3</f>
        <v>#VALUE!</v>
      </c>
      <c r="U3" s="26" t="str">
        <f t="shared" si="3"/>
        <v>IT384453=TT</v>
      </c>
      <c r="V3" s="23">
        <v>102.526</v>
      </c>
      <c r="W3" s="23">
        <v>102.613</v>
      </c>
      <c r="X3" s="17" t="e">
        <f ca="1">_xll.MKV("EUR.PRICING.XLS_GOVIES."&amp;$C3,X$1)</f>
        <v>#NAME?</v>
      </c>
      <c r="Y3" s="17" t="e">
        <f ca="1">_xll.MKV("EUR.PRICING.XLS_GOVIES."&amp;$C3,Y$1)</f>
        <v>#NAME?</v>
      </c>
      <c r="Z3" s="25">
        <f ca="1">IF(ISNA(C3),NA(),_xll.qlBondYieldFromCleanPrice(C3,P3,YieldDayCounter,YieldCompounding,YieldFrequency))</f>
        <v>4.5381417829835373E-3</v>
      </c>
      <c r="AA3" s="19" t="b">
        <v>1</v>
      </c>
      <c r="AB3" s="26" t="b">
        <f t="shared" si="4"/>
        <v>1</v>
      </c>
      <c r="AC3" s="24">
        <f ca="1">IF(ISNA(C3),NA(),M3-_xll.qlQuoteValue(H3))</f>
        <v>-2.6086956523840854E-6</v>
      </c>
      <c r="AD3" s="11"/>
      <c r="AE3" s="1"/>
      <c r="AF3" s="33" t="e">
        <f>_xll.qlBondDescription(#REF!,Trigger)</f>
        <v>#VALUE!</v>
      </c>
      <c r="AG3" s="33" t="e">
        <f>"STRIP."&amp;#REF!</f>
        <v>#REF!</v>
      </c>
      <c r="AH3" s="32" t="e">
        <f>IF(ISNA($AG3),0,_xll.RtGet("DTSIMI2",$AG3,AH$1))</f>
        <v>#VALUE!</v>
      </c>
      <c r="AI3" s="32" t="e">
        <f>IF(ISNA($AG3),0,_xll.RtGet("DTSIMI2",$AG3,AI$1))</f>
        <v>#VALUE!</v>
      </c>
      <c r="AJ3" s="1" t="e">
        <f>IF(ISNA($AG3),0,VLOOKUP($D3,Contribution!$B$4:$B$102,2,FALSE))</f>
        <v>#REF!</v>
      </c>
      <c r="AK3" s="1" t="e">
        <f>IF(ISNA($AG3),0,VLOOKUP($D3,Contribution!$B$4:$B$102,3,FALSE))</f>
        <v>#REF!</v>
      </c>
    </row>
    <row r="4" spans="1:37" x14ac:dyDescent="0.2">
      <c r="A4" s="4"/>
      <c r="B4" s="22" t="str">
        <f>IF(ISNA(C4),NA(),_xll.qlBondDescription(C4,Trigger))</f>
        <v>BTP 2015-11-01 3%</v>
      </c>
      <c r="C4" s="16" t="str">
        <v>IT0004656275</v>
      </c>
      <c r="D4" s="18">
        <f>IF(ISNA(C4),NA(),_xll.qlBondMaturityDate(C4,Trigger))</f>
        <v>42309</v>
      </c>
      <c r="E4" s="19">
        <f>IF(ISNA(C4),NA(),_xll.qlBondNextCouponRate(C4,BondSettlementDate))</f>
        <v>0.03</v>
      </c>
      <c r="F4" s="30">
        <f>IF(ISNA(C4),NA(),_xll.qlBondRedemptionAmount(C4,Trigger))</f>
        <v>100</v>
      </c>
      <c r="G4" s="17" t="str">
        <f t="shared" si="5"/>
        <v>IT0004656275_Quote</v>
      </c>
      <c r="H4" s="27" t="str">
        <f t="shared" si="6"/>
        <v>IT0004656275_Quote</v>
      </c>
      <c r="I4" s="16" t="str">
        <f>IF(LEFT(B4,3)="BTP",_xll.qlBTP2(,B4,D4,E4,F4,,,,Trigger),_xll.qlCCTEU(,B4,D4,E4,F4,,,,Trigger))</f>
        <v>obj_003e6#0003</v>
      </c>
      <c r="J4" s="31" t="str">
        <f>_xll.qlBondHelper(,H4,I4)</f>
        <v>obj_00496#0003</v>
      </c>
      <c r="K4" s="26" t="str">
        <f>_xll.qlBTP2(,B4,D4,E4,F4,,,,Trigger)</f>
        <v>obj_00400#0003</v>
      </c>
      <c r="L4" s="26" t="b">
        <f>_xll.qlInstrumentSetPricingEngine(K4,BondPricingEngine)</f>
        <v>1</v>
      </c>
      <c r="M4" s="23">
        <f ca="1">_xll.qlBondCleanPrice(K4,AND(ISERROR(L4),ISERROR(N4)))</f>
        <v>102.53350391305391</v>
      </c>
      <c r="N4" s="27">
        <f ca="1">_xll.qlSimpleQuoteSetValue(G4,P4)</f>
        <v>0</v>
      </c>
      <c r="O4" s="29" t="e">
        <f>_xll.qlSimpleQuoteSetValue(#REF!,Q4)</f>
        <v>#VALUE!</v>
      </c>
      <c r="P4" s="27">
        <f t="shared" ca="1" si="0"/>
        <v>102.5335</v>
      </c>
      <c r="Q4" s="23">
        <f t="shared" si="1"/>
        <v>0</v>
      </c>
      <c r="R4" s="24">
        <f t="shared" si="2"/>
        <v>0.11899999999999977</v>
      </c>
      <c r="S4" s="28" t="e">
        <f t="shared" si="7"/>
        <v>#VALUE!</v>
      </c>
      <c r="T4" s="23" t="e">
        <f t="shared" si="8"/>
        <v>#VALUE!</v>
      </c>
      <c r="U4" s="26" t="str">
        <f t="shared" si="3"/>
        <v>IT465627=TT</v>
      </c>
      <c r="V4" s="23">
        <v>102.474</v>
      </c>
      <c r="W4" s="23">
        <v>102.593</v>
      </c>
      <c r="X4" s="17" t="e">
        <f ca="1">_xll.MKV("EUR.PRICING.XLS_GOVIES."&amp;$C4,X$1)</f>
        <v>#NAME?</v>
      </c>
      <c r="Y4" s="17" t="e">
        <f ca="1">_xll.MKV("EUR.PRICING.XLS_GOVIES."&amp;$C4,Y$1)</f>
        <v>#NAME?</v>
      </c>
      <c r="Z4" s="25">
        <f ca="1">IF(ISNA(C4),NA(),_xll.qlBondYieldFromCleanPrice(C4,P4,YieldDayCounter,YieldCompounding,YieldFrequency))</f>
        <v>5.354994058646265E-3</v>
      </c>
      <c r="AA4" s="19" t="b">
        <v>1</v>
      </c>
      <c r="AB4" s="26" t="b">
        <f t="shared" si="4"/>
        <v>1</v>
      </c>
      <c r="AC4" s="24">
        <f ca="1">IF(ISNA(C4),NA(),M4-_xll.qlQuoteValue(H4))</f>
        <v>3.9130539022380617E-6</v>
      </c>
      <c r="AD4" s="11"/>
      <c r="AE4" s="1"/>
      <c r="AF4" s="33" t="e">
        <f>_xll.qlBondDescription(#REF!,Trigger)</f>
        <v>#VALUE!</v>
      </c>
      <c r="AG4" s="33" t="e">
        <f>"STRIP."&amp;#REF!</f>
        <v>#REF!</v>
      </c>
      <c r="AH4" s="32" t="e">
        <f>IF(ISNA($AG4),0,_xll.RtGet("DTSIMI2",$AG4,AH$1))</f>
        <v>#VALUE!</v>
      </c>
      <c r="AI4" s="32" t="e">
        <f>IF(ISNA($AG4),0,_xll.RtGet("DTSIMI2",$AG4,AI$1))</f>
        <v>#VALUE!</v>
      </c>
      <c r="AJ4" s="1" t="e">
        <f>IF(ISNA($AG4),0,VLOOKUP($D4,Contribution!$B$4:$B$102,2,FALSE))</f>
        <v>#REF!</v>
      </c>
      <c r="AK4" s="1" t="e">
        <f>IF(ISNA($AG4),0,VLOOKUP($D4,Contribution!$B$4:$B$102,3,FALSE))</f>
        <v>#REF!</v>
      </c>
    </row>
    <row r="5" spans="1:37" x14ac:dyDescent="0.2">
      <c r="A5" s="4"/>
      <c r="B5" s="22" t="str">
        <f>IF(ISNA(C5),NA(),_xll.qlBondDescription(C5,Trigger))</f>
        <v>BTP 2016-04-15 3.75%</v>
      </c>
      <c r="C5" s="16" t="str">
        <v>IT0004712748</v>
      </c>
      <c r="D5" s="18">
        <f>IF(ISNA(C5),NA(),_xll.qlBondMaturityDate(C5,Trigger))</f>
        <v>42475</v>
      </c>
      <c r="E5" s="19">
        <f>IF(ISNA(C5),NA(),_xll.qlBondNextCouponRate(C5,BondSettlementDate))</f>
        <v>3.7499999999999999E-2</v>
      </c>
      <c r="F5" s="30">
        <f>IF(ISNA(C5),NA(),_xll.qlBondRedemptionAmount(C5,Trigger))</f>
        <v>100</v>
      </c>
      <c r="G5" s="17" t="str">
        <f t="shared" si="5"/>
        <v>IT0004712748_Quote</v>
      </c>
      <c r="H5" s="27" t="str">
        <f t="shared" si="6"/>
        <v>IT0004712748_Quote</v>
      </c>
      <c r="I5" s="16" t="str">
        <f>IF(LEFT(B5,3)="BTP",_xll.qlBTP2(,B5,D5,E5,F5,,,,Trigger),_xll.qlCCTEU(,B5,D5,E5,F5,,,,Trigger))</f>
        <v>obj_003e0#0003</v>
      </c>
      <c r="J5" s="31" t="str">
        <f>_xll.qlBondHelper(,H5,I5)</f>
        <v>obj_0047b#0003</v>
      </c>
      <c r="K5" s="26" t="str">
        <f>_xll.qlBTP2(,B5,D5,E5,F5,,,,Trigger)</f>
        <v>obj_00408#0003</v>
      </c>
      <c r="L5" s="26" t="b">
        <f>_xll.qlInstrumentSetPricingEngine(K5,BondPricingEngine)</f>
        <v>1</v>
      </c>
      <c r="M5" s="23">
        <f ca="1">_xll.qlBondCleanPrice(K5,AND(ISERROR(L5),ISERROR(N5)))</f>
        <v>104.58250098900275</v>
      </c>
      <c r="N5" s="27">
        <f ca="1">_xll.qlSimpleQuoteSetValue(G5,P5)</f>
        <v>0</v>
      </c>
      <c r="O5" s="29" t="e">
        <f>_xll.qlSimpleQuoteSetValue(#REF!,Q5)</f>
        <v>#VALUE!</v>
      </c>
      <c r="P5" s="27">
        <f t="shared" ca="1" si="0"/>
        <v>104.5825</v>
      </c>
      <c r="Q5" s="23">
        <f t="shared" si="1"/>
        <v>0</v>
      </c>
      <c r="R5" s="24">
        <f t="shared" si="2"/>
        <v>0.125</v>
      </c>
      <c r="S5" s="28" t="e">
        <f t="shared" si="7"/>
        <v>#VALUE!</v>
      </c>
      <c r="T5" s="23" t="e">
        <f t="shared" si="8"/>
        <v>#VALUE!</v>
      </c>
      <c r="U5" s="26" t="str">
        <f t="shared" si="3"/>
        <v>IT471274=TT</v>
      </c>
      <c r="V5" s="23">
        <v>104.52</v>
      </c>
      <c r="W5" s="23">
        <v>104.645</v>
      </c>
      <c r="X5" s="17" t="e">
        <f ca="1">_xll.MKV("EUR.PRICING.XLS_GOVIES."&amp;$C5,X$1)</f>
        <v>#NAME?</v>
      </c>
      <c r="Y5" s="17" t="e">
        <f ca="1">_xll.MKV("EUR.PRICING.XLS_GOVIES."&amp;$C5,Y$1)</f>
        <v>#NAME?</v>
      </c>
      <c r="Z5" s="25">
        <f ca="1">IF(ISNA(C5),NA(),_xll.qlBondYieldFromCleanPrice(C5,P5,YieldDayCounter,YieldCompounding,YieldFrequency))</f>
        <v>6.4792836937379392E-3</v>
      </c>
      <c r="AA5" s="19" t="b">
        <v>1</v>
      </c>
      <c r="AB5" s="26" t="b">
        <f t="shared" si="4"/>
        <v>1</v>
      </c>
      <c r="AC5" s="24">
        <f ca="1">IF(ISNA(C5),NA(),M5-_xll.qlQuoteValue(H5))</f>
        <v>9.8900275702362705E-7</v>
      </c>
      <c r="AD5" s="11"/>
      <c r="AE5" s="1"/>
      <c r="AF5" s="33" t="e">
        <f>_xll.qlBondDescription(#REF!,Trigger)</f>
        <v>#VALUE!</v>
      </c>
      <c r="AG5" s="33" t="e">
        <f>"STRIP."&amp;#REF!</f>
        <v>#REF!</v>
      </c>
      <c r="AH5" s="32" t="e">
        <f>IF(ISNA($AG5),0,_xll.RtGet("DTSIMI2",$AG5,AH$1))</f>
        <v>#VALUE!</v>
      </c>
      <c r="AI5" s="32" t="e">
        <f>IF(ISNA($AG5),0,_xll.RtGet("DTSIMI2",$AG5,AI$1))</f>
        <v>#VALUE!</v>
      </c>
      <c r="AJ5" s="1" t="e">
        <f>IF(ISNA($AG5),0,VLOOKUP($D5,Contribution!$B$4:$B$102,2,FALSE))</f>
        <v>#N/A</v>
      </c>
      <c r="AK5" s="1" t="e">
        <f>IF(ISNA($AG5),0,VLOOKUP($D5,Contribution!$B$4:$B$102,3,FALSE))</f>
        <v>#N/A</v>
      </c>
    </row>
    <row r="6" spans="1:37" x14ac:dyDescent="0.2">
      <c r="A6" s="4"/>
      <c r="B6" s="22" t="str">
        <f>IF(ISNA(C6),NA(),_xll.qlBondDescription(C6,Trigger))</f>
        <v>BTP 2016-08-01 3.75%</v>
      </c>
      <c r="C6" s="16" t="str">
        <v>IT0004019581</v>
      </c>
      <c r="D6" s="18">
        <f>IF(ISNA(C6),NA(),_xll.qlBondMaturityDate(C6,Trigger))</f>
        <v>42583</v>
      </c>
      <c r="E6" s="19">
        <f>IF(ISNA(C6),NA(),_xll.qlBondNextCouponRate(C6,BondSettlementDate))</f>
        <v>3.7499999999999999E-2</v>
      </c>
      <c r="F6" s="30">
        <f>IF(ISNA(C6),NA(),_xll.qlBondRedemptionAmount(C6,Trigger))</f>
        <v>100</v>
      </c>
      <c r="G6" s="17" t="str">
        <f t="shared" si="5"/>
        <v>IT0004019581_Quote</v>
      </c>
      <c r="H6" s="27" t="str">
        <f t="shared" si="6"/>
        <v>IT0004019581_Quote</v>
      </c>
      <c r="I6" s="16" t="str">
        <f>IF(LEFT(B6,3)="BTP",_xll.qlBTP2(,B6,D6,E6,F6,,,,Trigger),_xll.qlCCTEU(,B6,D6,E6,F6,,,,Trigger))</f>
        <v>obj_003f6#0003</v>
      </c>
      <c r="J6" s="31" t="str">
        <f>_xll.qlBondHelper(,H6,I6)</f>
        <v>obj_00490#0003</v>
      </c>
      <c r="K6" s="26" t="str">
        <f>_xll.qlBTP2(,B6,D6,E6,F6,,,,Trigger)</f>
        <v>obj_00418#0003</v>
      </c>
      <c r="L6" s="26" t="b">
        <f>_xll.qlInstrumentSetPricingEngine(K6,BondPricingEngine)</f>
        <v>1</v>
      </c>
      <c r="M6" s="23">
        <f ca="1">_xll.qlBondCleanPrice(K6,AND(ISERROR(L6),ISERROR(N6)))</f>
        <v>105.26499739130922</v>
      </c>
      <c r="N6" s="27">
        <f ca="1">_xll.qlSimpleQuoteSetValue(G6,P6)</f>
        <v>0</v>
      </c>
      <c r="O6" s="29" t="e">
        <f>_xll.qlSimpleQuoteSetValue(#REF!,Q6)</f>
        <v>#VALUE!</v>
      </c>
      <c r="P6" s="27">
        <f t="shared" ca="1" si="0"/>
        <v>105.265</v>
      </c>
      <c r="Q6" s="23">
        <f t="shared" si="1"/>
        <v>0</v>
      </c>
      <c r="R6" s="24">
        <f t="shared" si="2"/>
        <v>0.12999999999999545</v>
      </c>
      <c r="S6" s="28" t="e">
        <f t="shared" si="7"/>
        <v>#VALUE!</v>
      </c>
      <c r="T6" s="23" t="e">
        <f t="shared" si="8"/>
        <v>#VALUE!</v>
      </c>
      <c r="U6" s="26" t="str">
        <f t="shared" si="3"/>
        <v>IT401958=TT</v>
      </c>
      <c r="V6" s="23">
        <v>105.2</v>
      </c>
      <c r="W6" s="23">
        <v>105.33</v>
      </c>
      <c r="X6" s="17" t="e">
        <f ca="1">_xll.MKV("EUR.PRICING.XLS_GOVIES."&amp;$C6,X$1)</f>
        <v>#NAME?</v>
      </c>
      <c r="Y6" s="17" t="e">
        <f ca="1">_xll.MKV("EUR.PRICING.XLS_GOVIES."&amp;$C6,Y$1)</f>
        <v>#NAME?</v>
      </c>
      <c r="Z6" s="25">
        <f ca="1">IF(ISNA(C6),NA(),_xll.qlBondYieldFromCleanPrice(C6,P6,YieldDayCounter,YieldCompounding,YieldFrequency))</f>
        <v>7.7138133610412489E-3</v>
      </c>
      <c r="AA6" s="19" t="b">
        <v>1</v>
      </c>
      <c r="AB6" s="26" t="b">
        <f t="shared" si="4"/>
        <v>1</v>
      </c>
      <c r="AC6" s="24">
        <f ca="1">IF(ISNA(C6),NA(),M6-_xll.qlQuoteValue(H6))</f>
        <v>-2.6086907780609181E-6</v>
      </c>
      <c r="AD6" s="11"/>
      <c r="AE6" s="1"/>
      <c r="AF6" s="33" t="e">
        <f>_xll.qlBondDescription(#REF!,Trigger)</f>
        <v>#VALUE!</v>
      </c>
      <c r="AG6" s="33" t="e">
        <f>"STRIP."&amp;#REF!</f>
        <v>#REF!</v>
      </c>
      <c r="AH6" s="32" t="e">
        <f>IF(ISNA($AG6),0,_xll.RtGet("DTSIMI2",$AG6,AH$1))</f>
        <v>#VALUE!</v>
      </c>
      <c r="AI6" s="32" t="e">
        <f>IF(ISNA($AG6),0,_xll.RtGet("DTSIMI2",$AG6,AI$1))</f>
        <v>#VALUE!</v>
      </c>
      <c r="AJ6" s="1" t="e">
        <f>IF(ISNA($AG6),0,VLOOKUP($D6,Contribution!$B$4:$B$102,2,FALSE))</f>
        <v>#REF!</v>
      </c>
      <c r="AK6" s="1" t="e">
        <f>IF(ISNA($AG6),0,VLOOKUP($D6,Contribution!$B$4:$B$102,3,FALSE))</f>
        <v>#REF!</v>
      </c>
    </row>
    <row r="7" spans="1:37" x14ac:dyDescent="0.2">
      <c r="A7" s="4"/>
      <c r="B7" s="22" t="str">
        <f>IF(ISNA(C7),NA(),_xll.qlBondDescription(C7,Trigger))</f>
        <v>BTP 2016-09-15 4.75%</v>
      </c>
      <c r="C7" s="16" t="str">
        <v>IT0004761950</v>
      </c>
      <c r="D7" s="18">
        <f>IF(ISNA(C7),NA(),_xll.qlBondMaturityDate(C7,Trigger))</f>
        <v>42628</v>
      </c>
      <c r="E7" s="19">
        <f>IF(ISNA(C7),NA(),_xll.qlBondNextCouponRate(C7,BondSettlementDate))</f>
        <v>4.7500000000000001E-2</v>
      </c>
      <c r="F7" s="30">
        <f>IF(ISNA(C7),NA(),_xll.qlBondRedemptionAmount(C7,Trigger))</f>
        <v>100</v>
      </c>
      <c r="G7" s="17" t="str">
        <f t="shared" si="5"/>
        <v>IT0004761950_Quote</v>
      </c>
      <c r="H7" s="27" t="str">
        <f t="shared" si="6"/>
        <v>IT0004761950_Quote</v>
      </c>
      <c r="I7" s="16" t="str">
        <f>IF(LEFT(B7,3)="BTP",_xll.qlBTP2(,B7,D7,E7,F7,,,,Trigger),_xll.qlCCTEU(,B7,D7,E7,F7,,,,Trigger))</f>
        <v>obj_0042d#0003</v>
      </c>
      <c r="J7" s="31" t="str">
        <f>_xll.qlBondHelper(,H7,I7)</f>
        <v>obj_0047a#0003</v>
      </c>
      <c r="K7" s="26" t="str">
        <f>_xll.qlBTP2(,B7,D7,E7,F7,,,,Trigger)</f>
        <v>obj_003fe#0003</v>
      </c>
      <c r="L7" s="26" t="b">
        <f>_xll.qlInstrumentSetPricingEngine(K7,BondPricingEngine)</f>
        <v>1</v>
      </c>
      <c r="M7" s="23">
        <f ca="1">_xll.qlBondCleanPrice(K7,AND(ISERROR(L7),ISERROR(N7)))</f>
        <v>107.41000414365024</v>
      </c>
      <c r="N7" s="27">
        <f ca="1">_xll.qlSimpleQuoteSetValue(G7,P7)</f>
        <v>0</v>
      </c>
      <c r="O7" s="29" t="e">
        <f>_xll.qlSimpleQuoteSetValue(#REF!,Q7)</f>
        <v>#VALUE!</v>
      </c>
      <c r="P7" s="27">
        <f t="shared" ca="1" si="0"/>
        <v>107.41</v>
      </c>
      <c r="Q7" s="23">
        <f t="shared" si="1"/>
        <v>0</v>
      </c>
      <c r="R7" s="24">
        <f t="shared" si="2"/>
        <v>0.12000000000000455</v>
      </c>
      <c r="S7" s="28" t="e">
        <f t="shared" si="7"/>
        <v>#VALUE!</v>
      </c>
      <c r="T7" s="23" t="e">
        <f t="shared" si="8"/>
        <v>#VALUE!</v>
      </c>
      <c r="U7" s="26" t="str">
        <f t="shared" si="3"/>
        <v>IT476195=TT</v>
      </c>
      <c r="V7" s="23">
        <v>107.35</v>
      </c>
      <c r="W7" s="23">
        <v>107.47</v>
      </c>
      <c r="X7" s="17" t="e">
        <f ca="1">_xll.MKV("EUR.PRICING.XLS_GOVIES."&amp;$C7,X$1)</f>
        <v>#NAME?</v>
      </c>
      <c r="Y7" s="17" t="e">
        <f ca="1">_xll.MKV("EUR.PRICING.XLS_GOVIES."&amp;$C7,Y$1)</f>
        <v>#NAME?</v>
      </c>
      <c r="Z7" s="25">
        <f ca="1">IF(ISNA(C7),NA(),_xll.qlBondYieldFromCleanPrice(C7,P7,YieldDayCounter,YieldCompounding,YieldFrequency))</f>
        <v>8.1969606359522003E-3</v>
      </c>
      <c r="AA7" s="19" t="b">
        <v>1</v>
      </c>
      <c r="AB7" s="26" t="b">
        <f t="shared" si="4"/>
        <v>1</v>
      </c>
      <c r="AC7" s="24">
        <f ca="1">IF(ISNA(C7),NA(),M7-_xll.qlQuoteValue(H7))</f>
        <v>4.1436502442593337E-6</v>
      </c>
      <c r="AD7" s="11"/>
      <c r="AE7" s="1"/>
      <c r="AF7" s="33" t="e">
        <f>_xll.qlBondDescription(#REF!,Trigger)</f>
        <v>#VALUE!</v>
      </c>
      <c r="AG7" s="33" t="e">
        <f>"STRIP."&amp;#REF!</f>
        <v>#REF!</v>
      </c>
      <c r="AH7" s="32" t="e">
        <f>IF(ISNA($AG7),0,_xll.RtGet("DTSIMI2",$AG7,AH$1))</f>
        <v>#VALUE!</v>
      </c>
      <c r="AI7" s="32" t="e">
        <f>IF(ISNA($AG7),0,_xll.RtGet("DTSIMI2",$AG7,AI$1))</f>
        <v>#VALUE!</v>
      </c>
      <c r="AJ7" s="1" t="e">
        <f>IF(ISNA($AG7),0,VLOOKUP($D7,Contribution!$B$4:$B$102,2,FALSE))</f>
        <v>#N/A</v>
      </c>
      <c r="AK7" s="1" t="e">
        <f>IF(ISNA($AG7),0,VLOOKUP($D7,Contribution!$B$4:$B$102,3,FALSE))</f>
        <v>#N/A</v>
      </c>
    </row>
    <row r="8" spans="1:37" x14ac:dyDescent="0.2">
      <c r="A8" s="4"/>
      <c r="B8" s="22" t="str">
        <f>IF(ISNA(C8),NA(),_xll.qlBondDescription(C8,Trigger))</f>
        <v>BTP 2017-02-01 4%</v>
      </c>
      <c r="C8" s="16" t="str">
        <v>IT0004164775</v>
      </c>
      <c r="D8" s="18">
        <f>IF(ISNA(C8),NA(),_xll.qlBondMaturityDate(C8,Trigger))</f>
        <v>42767</v>
      </c>
      <c r="E8" s="19">
        <f>IF(ISNA(C8),NA(),_xll.qlBondNextCouponRate(C8,BondSettlementDate))</f>
        <v>0.04</v>
      </c>
      <c r="F8" s="30">
        <f>IF(ISNA(C8),NA(),_xll.qlBondRedemptionAmount(C8,Trigger))</f>
        <v>100</v>
      </c>
      <c r="G8" s="17" t="str">
        <f t="shared" si="5"/>
        <v>IT0004164775_Quote</v>
      </c>
      <c r="H8" s="27" t="str">
        <f t="shared" si="6"/>
        <v>IT0004164775_Quote</v>
      </c>
      <c r="I8" s="16" t="str">
        <f>IF(LEFT(B8,3)="BTP",_xll.qlBTP2(,B8,D8,E8,F8,,,,Trigger),_xll.qlCCTEU(,B8,D8,E8,F8,,,,Trigger))</f>
        <v>obj_003dd#0003</v>
      </c>
      <c r="J8" s="31" t="str">
        <f>_xll.qlBondHelper(,H8,I8)</f>
        <v>obj_0047e#0003</v>
      </c>
      <c r="K8" s="26" t="str">
        <f>_xll.qlBTP2(,B8,D8,E8,F8,,,,Trigger)</f>
        <v>obj_0040c#0003</v>
      </c>
      <c r="L8" s="26" t="b">
        <f>_xll.qlInstrumentSetPricingEngine(K8,BondPricingEngine)</f>
        <v>1</v>
      </c>
      <c r="M8" s="23">
        <f ca="1">_xll.qlBondCleanPrice(K8,AND(ISERROR(L8),ISERROR(N8)))</f>
        <v>107.02999521738336</v>
      </c>
      <c r="N8" s="27">
        <f ca="1">_xll.qlSimpleQuoteSetValue(G8,P8)</f>
        <v>0</v>
      </c>
      <c r="O8" s="29" t="e">
        <f>_xll.qlSimpleQuoteSetValue(#REF!,Q8)</f>
        <v>#VALUE!</v>
      </c>
      <c r="P8" s="27">
        <f t="shared" ca="1" si="0"/>
        <v>107.03</v>
      </c>
      <c r="Q8" s="23">
        <f t="shared" si="1"/>
        <v>0</v>
      </c>
      <c r="R8" s="24">
        <f t="shared" si="2"/>
        <v>0.34000000000000341</v>
      </c>
      <c r="S8" s="28" t="e">
        <f t="shared" si="7"/>
        <v>#VALUE!</v>
      </c>
      <c r="T8" s="23" t="e">
        <f t="shared" si="8"/>
        <v>#VALUE!</v>
      </c>
      <c r="U8" s="26" t="str">
        <f t="shared" si="3"/>
        <v>IT416477=TT</v>
      </c>
      <c r="V8" s="23">
        <v>106.86</v>
      </c>
      <c r="W8" s="23">
        <v>107.2</v>
      </c>
      <c r="X8" s="17" t="e">
        <f ca="1">_xll.MKV("EUR.PRICING.XLS_GOVIES."&amp;$C8,X$1)</f>
        <v>#NAME?</v>
      </c>
      <c r="Y8" s="17" t="e">
        <f ca="1">_xll.MKV("EUR.PRICING.XLS_GOVIES."&amp;$C8,Y$1)</f>
        <v>#NAME?</v>
      </c>
      <c r="Z8" s="25">
        <f ca="1">IF(ISNA(C8),NA(),_xll.qlBondYieldFromCleanPrice(C8,P8,YieldDayCounter,YieldCompounding,YieldFrequency))</f>
        <v>8.8370719502493776E-3</v>
      </c>
      <c r="AA8" s="19" t="b">
        <v>1</v>
      </c>
      <c r="AB8" s="26" t="b">
        <f t="shared" si="4"/>
        <v>1</v>
      </c>
      <c r="AC8" s="24">
        <f ca="1">IF(ISNA(C8),NA(),M8-_xll.qlQuoteValue(H8))</f>
        <v>-4.7826166422737515E-6</v>
      </c>
      <c r="AD8" s="11"/>
      <c r="AE8" s="1"/>
      <c r="AF8" s="33" t="e">
        <f>_xll.qlBondDescription(#REF!,Trigger)</f>
        <v>#VALUE!</v>
      </c>
      <c r="AG8" s="33" t="e">
        <f>"STRIP."&amp;#REF!</f>
        <v>#REF!</v>
      </c>
      <c r="AH8" s="32" t="e">
        <f>IF(ISNA($AG8),0,_xll.RtGet("DTSIMI2",$AG8,AH$1))</f>
        <v>#VALUE!</v>
      </c>
      <c r="AI8" s="32" t="e">
        <f>IF(ISNA($AG8),0,_xll.RtGet("DTSIMI2",$AG8,AI$1))</f>
        <v>#VALUE!</v>
      </c>
      <c r="AJ8" s="1" t="e">
        <f>IF(ISNA($AG8),0,VLOOKUP($D8,Contribution!$B$4:$B$102,2,FALSE))</f>
        <v>#REF!</v>
      </c>
      <c r="AK8" s="1" t="e">
        <f>IF(ISNA($AG8),0,VLOOKUP($D8,Contribution!$B$4:$B$102,3,FALSE))</f>
        <v>#REF!</v>
      </c>
    </row>
    <row r="9" spans="1:37" x14ac:dyDescent="0.2">
      <c r="A9" s="4"/>
      <c r="B9" s="22" t="str">
        <f>IF(ISNA(C9),NA(),_xll.qlBondDescription(C9,Trigger))</f>
        <v>BTP 2017-05-01 4.75%</v>
      </c>
      <c r="C9" s="16" t="str">
        <v>IT0004793474</v>
      </c>
      <c r="D9" s="18">
        <f>IF(ISNA(C9),NA(),_xll.qlBondMaturityDate(C9,Trigger))</f>
        <v>42856</v>
      </c>
      <c r="E9" s="19">
        <f>IF(ISNA(C9),NA(),_xll.qlBondNextCouponRate(C9,BondSettlementDate))</f>
        <v>4.7500000000000001E-2</v>
      </c>
      <c r="F9" s="30">
        <f>IF(ISNA(C9),NA(),_xll.qlBondRedemptionAmount(C9,Trigger))</f>
        <v>100</v>
      </c>
      <c r="G9" s="17" t="str">
        <f t="shared" si="5"/>
        <v>IT0004793474_Quote</v>
      </c>
      <c r="H9" s="27" t="str">
        <f t="shared" si="6"/>
        <v>IT0004793474_Quote</v>
      </c>
      <c r="I9" s="16" t="str">
        <f>IF(LEFT(B9,3)="BTP",_xll.qlBTP2(,B9,D9,E9,F9,,,,Trigger),_xll.qlCCTEU(,B9,D9,E9,F9,,,,Trigger))</f>
        <v>obj_00429#0003</v>
      </c>
      <c r="J9" s="31" t="str">
        <f>_xll.qlBondHelper(,H9,I9)</f>
        <v>obj_00495#0003</v>
      </c>
      <c r="K9" s="26" t="str">
        <f>_xll.qlBTP2(,B9,D9,E9,F9,,,,Trigger)</f>
        <v>obj_00414#0003</v>
      </c>
      <c r="L9" s="26" t="b">
        <f>_xll.qlInstrumentSetPricingEngine(K9,BondPricingEngine)</f>
        <v>1</v>
      </c>
      <c r="M9" s="23">
        <f ca="1">_xll.qlBondCleanPrice(K9,AND(ISERROR(L9),ISERROR(N9)))</f>
        <v>109.51499869565063</v>
      </c>
      <c r="N9" s="27">
        <f ca="1">_xll.qlSimpleQuoteSetValue(G9,P9)</f>
        <v>0</v>
      </c>
      <c r="O9" s="29" t="e">
        <f>_xll.qlSimpleQuoteSetValue(#REF!,Q9)</f>
        <v>#VALUE!</v>
      </c>
      <c r="P9" s="27">
        <f t="shared" ca="1" si="0"/>
        <v>109.515</v>
      </c>
      <c r="Q9" s="23">
        <f t="shared" si="1"/>
        <v>0</v>
      </c>
      <c r="R9" s="24">
        <f t="shared" si="2"/>
        <v>0.12999999999999545</v>
      </c>
      <c r="S9" s="28" t="e">
        <f t="shared" si="7"/>
        <v>#VALUE!</v>
      </c>
      <c r="T9" s="23" t="e">
        <f t="shared" si="8"/>
        <v>#VALUE!</v>
      </c>
      <c r="U9" s="26" t="str">
        <f t="shared" si="3"/>
        <v>IT479347=TT</v>
      </c>
      <c r="V9" s="23">
        <v>109.45</v>
      </c>
      <c r="W9" s="23">
        <v>109.58</v>
      </c>
      <c r="X9" s="17" t="e">
        <f ca="1">_xll.MKV("EUR.PRICING.XLS_GOVIES."&amp;$C9,X$1)</f>
        <v>#NAME?</v>
      </c>
      <c r="Y9" s="17" t="e">
        <f ca="1">_xll.MKV("EUR.PRICING.XLS_GOVIES."&amp;$C9,Y$1)</f>
        <v>#NAME?</v>
      </c>
      <c r="Z9" s="25">
        <f ca="1">IF(ISNA(C9),NA(),_xll.qlBondYieldFromCleanPrice(C9,P9,YieldDayCounter,YieldCompounding,YieldFrequency))</f>
        <v>9.4027127774432319E-3</v>
      </c>
      <c r="AA9" s="19" t="b">
        <v>1</v>
      </c>
      <c r="AB9" s="26" t="b">
        <f t="shared" si="4"/>
        <v>1</v>
      </c>
      <c r="AC9" s="24">
        <f ca="1">IF(ISNA(C9),NA(),M9-_xll.qlQuoteValue(H9))</f>
        <v>-1.3043493680697793E-6</v>
      </c>
      <c r="AD9" s="11"/>
      <c r="AE9" s="1"/>
      <c r="AF9" s="33" t="e">
        <f>_xll.qlBondDescription(#REF!,Trigger)</f>
        <v>#VALUE!</v>
      </c>
      <c r="AG9" s="33" t="e">
        <f>"STRIP."&amp;#REF!</f>
        <v>#REF!</v>
      </c>
      <c r="AH9" s="32" t="e">
        <f>IF(ISNA($AG9),0,_xll.RtGet("DTSIMI2",$AG9,AH$1))</f>
        <v>#VALUE!</v>
      </c>
      <c r="AI9" s="32" t="e">
        <f>IF(ISNA($AG9),0,_xll.RtGet("DTSIMI2",$AG9,AI$1))</f>
        <v>#VALUE!</v>
      </c>
      <c r="AJ9" s="1" t="e">
        <f>IF(ISNA($AG9),0,VLOOKUP($D9,Contribution!$B$4:$B$102,2,FALSE))</f>
        <v>#REF!</v>
      </c>
      <c r="AK9" s="1" t="e">
        <f>IF(ISNA($AG9),0,VLOOKUP($D9,Contribution!$B$4:$B$102,3,FALSE))</f>
        <v>#REF!</v>
      </c>
    </row>
    <row r="10" spans="1:37" x14ac:dyDescent="0.2">
      <c r="A10" s="4"/>
      <c r="B10" s="22" t="str">
        <f>IF(ISNA(C10),NA(),_xll.qlBondDescription(C10,Trigger))</f>
        <v>BTP 2017-06-01 4.75%</v>
      </c>
      <c r="C10" s="16" t="str">
        <v>IT0004820426</v>
      </c>
      <c r="D10" s="18">
        <f>IF(ISNA(C10),NA(),_xll.qlBondMaturityDate(C10,Trigger))</f>
        <v>42887</v>
      </c>
      <c r="E10" s="19">
        <f>IF(ISNA(C10),NA(),_xll.qlBondNextCouponRate(C10,BondSettlementDate))</f>
        <v>4.7500000000000001E-2</v>
      </c>
      <c r="F10" s="30">
        <f>IF(ISNA(C10),NA(),_xll.qlBondRedemptionAmount(C10,Trigger))</f>
        <v>100</v>
      </c>
      <c r="G10" s="17" t="str">
        <f t="shared" si="5"/>
        <v>IT0004820426_Quote</v>
      </c>
      <c r="H10" s="27" t="str">
        <f t="shared" si="6"/>
        <v>IT0004820426_Quote</v>
      </c>
      <c r="I10" s="16" t="str">
        <f>IF(LEFT(B10,3)="BTP",_xll.qlBTP2(,B10,D10,E10,F10,,,,Trigger),_xll.qlCCTEU(,B10,D10,E10,F10,,,,Trigger))</f>
        <v>obj_0040b#0003</v>
      </c>
      <c r="J10" s="31" t="str">
        <f>_xll.qlBondHelper(,H10,I10)</f>
        <v>obj_00479#0003</v>
      </c>
      <c r="K10" s="26" t="str">
        <f>_xll.qlBTP2(,B10,D10,E10,F10,,,,Trigger)</f>
        <v>obj_00433#0003</v>
      </c>
      <c r="L10" s="26" t="b">
        <f>_xll.qlInstrumentSetPricingEngine(K10,BondPricingEngine)</f>
        <v>1</v>
      </c>
      <c r="M10" s="23">
        <f ca="1">_xll.qlBondCleanPrice(K10,AND(ISERROR(L10),ISERROR(N10)))</f>
        <v>109.77499803278474</v>
      </c>
      <c r="N10" s="27">
        <f ca="1">_xll.qlSimpleQuoteSetValue(G10,P10)</f>
        <v>0</v>
      </c>
      <c r="O10" s="29" t="e">
        <f>_xll.qlSimpleQuoteSetValue(#REF!,Q10)</f>
        <v>#VALUE!</v>
      </c>
      <c r="P10" s="27">
        <f t="shared" ca="1" si="0"/>
        <v>109.77500000000001</v>
      </c>
      <c r="Q10" s="23">
        <f t="shared" si="1"/>
        <v>0</v>
      </c>
      <c r="R10" s="24">
        <f t="shared" si="2"/>
        <v>0.13000000000000966</v>
      </c>
      <c r="S10" s="28" t="e">
        <f t="shared" si="7"/>
        <v>#VALUE!</v>
      </c>
      <c r="T10" s="23" t="e">
        <f t="shared" si="8"/>
        <v>#VALUE!</v>
      </c>
      <c r="U10" s="26" t="str">
        <f t="shared" si="3"/>
        <v>IT482042=TT</v>
      </c>
      <c r="V10" s="23">
        <v>109.71</v>
      </c>
      <c r="W10" s="23">
        <v>109.84</v>
      </c>
      <c r="X10" s="17" t="e">
        <f ca="1">_xll.MKV("EUR.PRICING.XLS_GOVIES."&amp;$C10,X$1)</f>
        <v>#NAME?</v>
      </c>
      <c r="Y10" s="17" t="e">
        <f ca="1">_xll.MKV("EUR.PRICING.XLS_GOVIES."&amp;$C10,Y$1)</f>
        <v>#NAME?</v>
      </c>
      <c r="Z10" s="25">
        <f ca="1">IF(ISNA(C10),NA(),_xll.qlBondYieldFromCleanPrice(C10,P10,YieldDayCounter,YieldCompounding,YieldFrequency))</f>
        <v>9.5768023573979781E-3</v>
      </c>
      <c r="AA10" s="19" t="b">
        <v>1</v>
      </c>
      <c r="AB10" s="26" t="b">
        <f t="shared" si="4"/>
        <v>1</v>
      </c>
      <c r="AC10" s="24">
        <f ca="1">IF(ISNA(C10),NA(),M10-_xll.qlQuoteValue(H10))</f>
        <v>-1.9672152689054201E-6</v>
      </c>
      <c r="AD10" s="11"/>
      <c r="AE10" s="1"/>
      <c r="AF10" s="33" t="e">
        <f>_xll.qlBondDescription(#REF!,Trigger)</f>
        <v>#VALUE!</v>
      </c>
      <c r="AG10" s="33" t="e">
        <f>"STRIP."&amp;#REF!</f>
        <v>#REF!</v>
      </c>
      <c r="AH10" s="32" t="e">
        <f>IF(ISNA($AG10),0,_xll.RtGet("DTSIMI2",$AG10,AH$1))</f>
        <v>#VALUE!</v>
      </c>
      <c r="AI10" s="32" t="e">
        <f>IF(ISNA($AG10),0,_xll.RtGet("DTSIMI2",$AG10,AI$1))</f>
        <v>#VALUE!</v>
      </c>
      <c r="AJ10" s="1" t="e">
        <f>IF(ISNA($AG10),0,VLOOKUP($D10,Contribution!$B$4:$B$102,2,FALSE))</f>
        <v>#N/A</v>
      </c>
      <c r="AK10" s="1" t="e">
        <f>IF(ISNA($AG10),0,VLOOKUP($D10,Contribution!$B$4:$B$102,3,FALSE))</f>
        <v>#N/A</v>
      </c>
    </row>
    <row r="11" spans="1:37" x14ac:dyDescent="0.2">
      <c r="A11" s="4"/>
      <c r="B11" s="22" t="str">
        <f>IF(ISNA(C11),NA(),_xll.qlBondDescription(C11,Trigger))</f>
        <v>BTP 2017-08-01 5.25%</v>
      </c>
      <c r="C11" s="16" t="str">
        <v>IT0003242747</v>
      </c>
      <c r="D11" s="18">
        <f>IF(ISNA(C11),NA(),_xll.qlBondMaturityDate(C11,Trigger))</f>
        <v>42948</v>
      </c>
      <c r="E11" s="19">
        <f>IF(ISNA(C11),NA(),_xll.qlBondNextCouponRate(C11,BondSettlementDate))</f>
        <v>5.2499999999999998E-2</v>
      </c>
      <c r="F11" s="30">
        <f>IF(ISNA(C11),NA(),_xll.qlBondRedemptionAmount(C11,Trigger))</f>
        <v>100</v>
      </c>
      <c r="G11" s="17" t="str">
        <f t="shared" si="5"/>
        <v>IT0003242747_Quote</v>
      </c>
      <c r="H11" s="27" t="str">
        <f t="shared" si="6"/>
        <v>IT0003242747_Quote</v>
      </c>
      <c r="I11" s="16" t="str">
        <f>IF(LEFT(B11,3)="BTP",_xll.qlBTP2(,B11,D11,E11,F11,,,,Trigger),_xll.qlCCTEU(,B11,D11,E11,F11,,,,Trigger))</f>
        <v>obj_003f9#0003</v>
      </c>
      <c r="J11" s="31" t="str">
        <f>_xll.qlBondHelper(,H11,I11)</f>
        <v>obj_00497#0003</v>
      </c>
      <c r="K11" s="26" t="str">
        <f>_xll.qlBTP2(,B11,D11,E11,F11,,,,Trigger)</f>
        <v>obj_0040a#0003</v>
      </c>
      <c r="L11" s="26" t="b">
        <f>_xll.qlInstrumentSetPricingEngine(K11,BondPricingEngine)</f>
        <v>1</v>
      </c>
      <c r="M11" s="23">
        <f ca="1">_xll.qlBondCleanPrice(K11,AND(ISERROR(L11),ISERROR(N11)))</f>
        <v>111.73500434782608</v>
      </c>
      <c r="N11" s="27">
        <f ca="1">_xll.qlSimpleQuoteSetValue(G11,P11)</f>
        <v>0</v>
      </c>
      <c r="O11" s="29" t="e">
        <f>_xll.qlSimpleQuoteSetValue(#REF!,Q11)</f>
        <v>#VALUE!</v>
      </c>
      <c r="P11" s="27">
        <f t="shared" ca="1" si="0"/>
        <v>111.735</v>
      </c>
      <c r="Q11" s="23">
        <f t="shared" si="1"/>
        <v>0</v>
      </c>
      <c r="R11" s="24">
        <f t="shared" si="2"/>
        <v>0.12999999999999545</v>
      </c>
      <c r="S11" s="28" t="e">
        <f t="shared" si="7"/>
        <v>#VALUE!</v>
      </c>
      <c r="T11" s="23" t="e">
        <f t="shared" si="8"/>
        <v>#VALUE!</v>
      </c>
      <c r="U11" s="26" t="str">
        <f t="shared" si="3"/>
        <v>IT324274=TT</v>
      </c>
      <c r="V11" s="23">
        <v>111.67</v>
      </c>
      <c r="W11" s="23">
        <v>111.8</v>
      </c>
      <c r="X11" s="17" t="e">
        <f ca="1">_xll.MKV("EUR.PRICING.XLS_GOVIES."&amp;$C11,X$1)</f>
        <v>#NAME?</v>
      </c>
      <c r="Y11" s="17" t="e">
        <f ca="1">_xll.MKV("EUR.PRICING.XLS_GOVIES."&amp;$C11,Y$1)</f>
        <v>#NAME?</v>
      </c>
      <c r="Z11" s="25">
        <f ca="1">IF(ISNA(C11),NA(),_xll.qlBondYieldFromCleanPrice(C11,P11,YieldDayCounter,YieldCompounding,YieldFrequency))</f>
        <v>9.673786440826955E-3</v>
      </c>
      <c r="AA11" s="19" t="b">
        <v>1</v>
      </c>
      <c r="AB11" s="26" t="b">
        <f t="shared" si="4"/>
        <v>1</v>
      </c>
      <c r="AC11" s="24">
        <f ca="1">IF(ISNA(C11),NA(),M11-_xll.qlQuoteValue(H11))</f>
        <v>4.3478260778329059E-6</v>
      </c>
      <c r="AD11" s="11"/>
      <c r="AE11" s="1"/>
      <c r="AF11" s="33" t="e">
        <f>_xll.qlBondDescription(#REF!,Trigger)</f>
        <v>#VALUE!</v>
      </c>
      <c r="AG11" s="33" t="e">
        <f>"STRIP."&amp;#REF!</f>
        <v>#REF!</v>
      </c>
      <c r="AH11" s="32" t="e">
        <f>IF(ISNA($AG11),0,_xll.RtGet("DTSIMI2",$AG11,AH$1))</f>
        <v>#VALUE!</v>
      </c>
      <c r="AI11" s="32" t="e">
        <f>IF(ISNA($AG11),0,_xll.RtGet("DTSIMI2",$AG11,AI$1))</f>
        <v>#VALUE!</v>
      </c>
      <c r="AJ11" s="1" t="e">
        <f>IF(ISNA($AG11),0,VLOOKUP($D11,Contribution!$B$4:$B$102,2,FALSE))</f>
        <v>#REF!</v>
      </c>
      <c r="AK11" s="1" t="e">
        <f>IF(ISNA($AG11),0,VLOOKUP($D11,Contribution!$B$4:$B$102,3,FALSE))</f>
        <v>#REF!</v>
      </c>
    </row>
    <row r="12" spans="1:37" x14ac:dyDescent="0.2">
      <c r="A12" s="4"/>
      <c r="B12" s="22" t="str">
        <f>IF(ISNA(C12),NA(),_xll.qlBondDescription(C12,Trigger))</f>
        <v>BTP 2017-11-01 3.5%</v>
      </c>
      <c r="C12" s="16" t="str">
        <v>IT0004867070</v>
      </c>
      <c r="D12" s="18">
        <f>IF(ISNA(C12),NA(),_xll.qlBondMaturityDate(C12,Trigger))</f>
        <v>43040</v>
      </c>
      <c r="E12" s="19">
        <f>IF(ISNA(C12),NA(),_xll.qlBondNextCouponRate(C12,BondSettlementDate))</f>
        <v>3.5000000000000003E-2</v>
      </c>
      <c r="F12" s="30">
        <f>IF(ISNA(C12),NA(),_xll.qlBondRedemptionAmount(C12,Trigger))</f>
        <v>100</v>
      </c>
      <c r="G12" s="17" t="str">
        <f t="shared" si="5"/>
        <v>IT0004867070_Quote</v>
      </c>
      <c r="H12" s="27" t="str">
        <f t="shared" si="6"/>
        <v>IT0004867070_Quote</v>
      </c>
      <c r="I12" s="16" t="str">
        <f>IF(LEFT(B12,3)="BTP",_xll.qlBTP2(,B12,D12,E12,F12,,,,Trigger),_xll.qlCCTEU(,B12,D12,E12,F12,,,,Trigger))</f>
        <v>obj_003fa#0003</v>
      </c>
      <c r="J12" s="31" t="str">
        <f>_xll.qlBondHelper(,H12,I12)</f>
        <v>obj_00491#0003</v>
      </c>
      <c r="K12" s="26" t="str">
        <f>_xll.qlBTP2(,B12,D12,E12,F12,,,,Trigger)</f>
        <v>obj_00420#0003</v>
      </c>
      <c r="L12" s="26" t="b">
        <f>_xll.qlInstrumentSetPricingEngine(K12,BondPricingEngine)</f>
        <v>1</v>
      </c>
      <c r="M12" s="23">
        <f ca="1">_xll.qlBondCleanPrice(K12,AND(ISERROR(L12),ISERROR(N12)))</f>
        <v>107.51499956521738</v>
      </c>
      <c r="N12" s="27">
        <f ca="1">_xll.qlSimpleQuoteSetValue(G12,P12)</f>
        <v>0</v>
      </c>
      <c r="O12" s="29" t="e">
        <f>_xll.qlSimpleQuoteSetValue(#REF!,Q12)</f>
        <v>#VALUE!</v>
      </c>
      <c r="P12" s="27">
        <f t="shared" ca="1" si="0"/>
        <v>107.515</v>
      </c>
      <c r="Q12" s="23">
        <f t="shared" si="1"/>
        <v>0</v>
      </c>
      <c r="R12" s="24">
        <f t="shared" si="2"/>
        <v>0.28999999999999204</v>
      </c>
      <c r="S12" s="28" t="e">
        <f t="shared" si="7"/>
        <v>#VALUE!</v>
      </c>
      <c r="T12" s="23" t="e">
        <f t="shared" si="8"/>
        <v>#VALUE!</v>
      </c>
      <c r="U12" s="26" t="str">
        <f t="shared" si="3"/>
        <v>IT486707=TT</v>
      </c>
      <c r="V12" s="23">
        <v>107.37</v>
      </c>
      <c r="W12" s="23">
        <v>107.66</v>
      </c>
      <c r="X12" s="17" t="e">
        <f ca="1">_xll.MKV("EUR.PRICING.XLS_GOVIES."&amp;$C12,X$1)</f>
        <v>#NAME?</v>
      </c>
      <c r="Y12" s="17" t="e">
        <f ca="1">_xll.MKV("EUR.PRICING.XLS_GOVIES."&amp;$C12,Y$1)</f>
        <v>#NAME?</v>
      </c>
      <c r="Z12" s="25">
        <f ca="1">IF(ISNA(C12),NA(),_xll.qlBondYieldFromCleanPrice(C12,P12,YieldDayCounter,YieldCompounding,YieldFrequency))</f>
        <v>9.8110354587817826E-3</v>
      </c>
      <c r="AA12" s="19" t="b">
        <v>1</v>
      </c>
      <c r="AB12" s="26" t="b">
        <f t="shared" si="4"/>
        <v>1</v>
      </c>
      <c r="AC12" s="24">
        <f ca="1">IF(ISNA(C12),NA(),M12-_xll.qlQuoteValue(H12))</f>
        <v>-4.3478262057305983E-7</v>
      </c>
      <c r="AD12" s="11"/>
      <c r="AE12" s="1"/>
      <c r="AF12" s="33" t="e">
        <f>_xll.qlBondDescription(#REF!,Trigger)</f>
        <v>#VALUE!</v>
      </c>
      <c r="AG12" s="33" t="e">
        <f>"STRIP."&amp;#REF!</f>
        <v>#REF!</v>
      </c>
      <c r="AH12" s="32" t="e">
        <f>IF(ISNA($AG12),0,_xll.RtGet("DTSIMI2",$AG12,AH$1))</f>
        <v>#VALUE!</v>
      </c>
      <c r="AI12" s="32" t="e">
        <f>IF(ISNA($AG12),0,_xll.RtGet("DTSIMI2",$AG12,AI$1))</f>
        <v>#VALUE!</v>
      </c>
      <c r="AJ12" s="1" t="e">
        <f>IF(ISNA($AG12),0,VLOOKUP($D12,Contribution!$B$4:$B$102,2,FALSE))</f>
        <v>#REF!</v>
      </c>
      <c r="AK12" s="1" t="e">
        <f>IF(ISNA($AG12),0,VLOOKUP($D12,Contribution!$B$4:$B$102,3,FALSE))</f>
        <v>#REF!</v>
      </c>
    </row>
    <row r="13" spans="1:37" x14ac:dyDescent="0.2">
      <c r="A13" s="4"/>
      <c r="B13" s="22" t="str">
        <f>IF(ISNA(C13),NA(),_xll.qlBondDescription(C13,Trigger))</f>
        <v>BTP 2018-02-01 4.5%</v>
      </c>
      <c r="C13" s="16" t="str">
        <v>IT0004273493</v>
      </c>
      <c r="D13" s="18">
        <f>IF(ISNA(C13),NA(),_xll.qlBondMaturityDate(C13,Trigger))</f>
        <v>43132</v>
      </c>
      <c r="E13" s="19">
        <f>IF(ISNA(C13),NA(),_xll.qlBondNextCouponRate(C13,BondSettlementDate))</f>
        <v>4.4999999999999998E-2</v>
      </c>
      <c r="F13" s="30">
        <f>IF(ISNA(C13),NA(),_xll.qlBondRedemptionAmount(C13,Trigger))</f>
        <v>100</v>
      </c>
      <c r="G13" s="17" t="str">
        <f t="shared" si="5"/>
        <v>IT0004273493_Quote</v>
      </c>
      <c r="H13" s="27" t="str">
        <f t="shared" si="6"/>
        <v>IT0004273493_Quote</v>
      </c>
      <c r="I13" s="16" t="str">
        <f>IF(LEFT(B13,3)="BTP",_xll.qlBTP2(,B13,D13,E13,F13,,,,Trigger),_xll.qlCCTEU(,B13,D13,E13,F13,,,,Trigger))</f>
        <v>obj_00403#0003</v>
      </c>
      <c r="J13" s="31" t="str">
        <f>_xll.qlBondHelper(,H13,I13)</f>
        <v>obj_00487#0003</v>
      </c>
      <c r="K13" s="26" t="str">
        <f>_xll.qlBTP2(,B13,D13,E13,F13,,,,Trigger)</f>
        <v>obj_0042a#0003</v>
      </c>
      <c r="L13" s="26" t="b">
        <f>_xll.qlInstrumentSetPricingEngine(K13,BondPricingEngine)</f>
        <v>1</v>
      </c>
      <c r="M13" s="23">
        <f ca="1">_xll.qlBondCleanPrice(K13,AND(ISERROR(L13),ISERROR(N13)))</f>
        <v>111.13000086956521</v>
      </c>
      <c r="N13" s="27">
        <f ca="1">_xll.qlSimpleQuoteSetValue(G13,P13)</f>
        <v>0</v>
      </c>
      <c r="O13" s="29" t="e">
        <f>_xll.qlSimpleQuoteSetValue(#REF!,Q13)</f>
        <v>#VALUE!</v>
      </c>
      <c r="P13" s="27">
        <f t="shared" ca="1" si="0"/>
        <v>111.13</v>
      </c>
      <c r="Q13" s="23">
        <f t="shared" si="1"/>
        <v>0</v>
      </c>
      <c r="R13" s="24">
        <f t="shared" si="2"/>
        <v>0.37999999999999545</v>
      </c>
      <c r="S13" s="28" t="e">
        <f t="shared" si="7"/>
        <v>#VALUE!</v>
      </c>
      <c r="T13" s="23" t="e">
        <f t="shared" si="8"/>
        <v>#VALUE!</v>
      </c>
      <c r="U13" s="26" t="str">
        <f t="shared" si="3"/>
        <v>IT427349=TT</v>
      </c>
      <c r="V13" s="23">
        <v>110.94</v>
      </c>
      <c r="W13" s="23">
        <v>111.32</v>
      </c>
      <c r="X13" s="17" t="e">
        <f ca="1">_xll.MKV("EUR.PRICING.XLS_GOVIES."&amp;$C13,X$1)</f>
        <v>#NAME?</v>
      </c>
      <c r="Y13" s="17" t="e">
        <f ca="1">_xll.MKV("EUR.PRICING.XLS_GOVIES."&amp;$C13,Y$1)</f>
        <v>#NAME?</v>
      </c>
      <c r="Z13" s="25">
        <f ca="1">IF(ISNA(C13),NA(),_xll.qlBondYieldFromCleanPrice(C13,P13,YieldDayCounter,YieldCompounding,YieldFrequency))</f>
        <v>1.0444850408993667E-2</v>
      </c>
      <c r="AA13" s="19" t="b">
        <v>1</v>
      </c>
      <c r="AB13" s="26" t="b">
        <f t="shared" si="4"/>
        <v>1</v>
      </c>
      <c r="AC13" s="24">
        <f ca="1">IF(ISNA(C13),NA(),M13-_xll.qlQuoteValue(H13))</f>
        <v>8.6956521272441023E-7</v>
      </c>
      <c r="AD13" s="11"/>
      <c r="AE13" s="1"/>
      <c r="AF13" s="33" t="e">
        <f>_xll.qlBondDescription(#REF!,Trigger)</f>
        <v>#VALUE!</v>
      </c>
      <c r="AG13" s="33" t="e">
        <f>"STRIP."&amp;#REF!</f>
        <v>#REF!</v>
      </c>
      <c r="AH13" s="32" t="e">
        <f>IF(ISNA($AG13),0,_xll.RtGet("DTSIMI2",$AG13,AH$1))</f>
        <v>#VALUE!</v>
      </c>
      <c r="AI13" s="32" t="e">
        <f>IF(ISNA($AG13),0,_xll.RtGet("DTSIMI2",$AG13,AI$1))</f>
        <v>#VALUE!</v>
      </c>
      <c r="AJ13" s="1" t="e">
        <f>IF(ISNA($AG13),0,VLOOKUP($D13,Contribution!$B$4:$B$102,2,FALSE))</f>
        <v>#REF!</v>
      </c>
      <c r="AK13" s="1" t="e">
        <f>IF(ISNA($AG13),0,VLOOKUP($D13,Contribution!$B$4:$B$102,3,FALSE))</f>
        <v>#REF!</v>
      </c>
    </row>
    <row r="14" spans="1:37" s="9" customFormat="1" x14ac:dyDescent="0.2">
      <c r="A14" s="96"/>
      <c r="B14" s="22" t="str">
        <f>IF(ISNA(C14),NA(),_xll.qlBondDescription(C14,Trigger))</f>
        <v>BTP 2018-06-01 3.5%</v>
      </c>
      <c r="C14" s="16" t="str">
        <v>IT0004907843</v>
      </c>
      <c r="D14" s="18">
        <f>IF(ISNA(C14),NA(),_xll.qlBondMaturityDate(C14,Trigger))</f>
        <v>43252</v>
      </c>
      <c r="E14" s="19">
        <f>IF(ISNA(C14),NA(),_xll.qlBondNextCouponRate(C14,BondSettlementDate))</f>
        <v>3.5000000000000003E-2</v>
      </c>
      <c r="F14" s="30">
        <f>IF(ISNA(C14),NA(),_xll.qlBondRedemptionAmount(C14,Trigger))</f>
        <v>100</v>
      </c>
      <c r="G14" s="17" t="str">
        <f t="shared" si="5"/>
        <v>IT0004907843_Quote</v>
      </c>
      <c r="H14" s="27" t="str">
        <f t="shared" si="6"/>
        <v>IT0004907843_Quote</v>
      </c>
      <c r="I14" s="16" t="str">
        <f>IF(LEFT(B14,3)="BTP",_xll.qlBTP2(,B14,D14,E14,F14,,,,Trigger),_xll.qlCCTEU(,B14,D14,E14,F14,,,,Trigger))</f>
        <v>obj_00424#0003</v>
      </c>
      <c r="J14" s="31" t="str">
        <f>_xll.qlBondHelper(,H14,I14)</f>
        <v>obj_0047c#0003</v>
      </c>
      <c r="K14" s="26" t="str">
        <f>_xll.qlBTP2(,B14,D14,E14,F14,,,,Trigger)</f>
        <v>obj_00423#0003</v>
      </c>
      <c r="L14" s="26" t="b">
        <f>_xll.qlInstrumentSetPricingEngine(K14,BondPricingEngine)</f>
        <v>1</v>
      </c>
      <c r="M14" s="23">
        <f ca="1">_xll.qlBondCleanPrice(K14,AND(ISERROR(L14),ISERROR(N14)))</f>
        <v>108.42500065573735</v>
      </c>
      <c r="N14" s="27">
        <f ca="1">_xll.qlSimpleQuoteSetValue(G14,P14)</f>
        <v>0</v>
      </c>
      <c r="O14" s="29" t="e">
        <f>_xll.qlSimpleQuoteSetValue(#REF!,Q14)</f>
        <v>#VALUE!</v>
      </c>
      <c r="P14" s="27">
        <f t="shared" ca="1" si="0"/>
        <v>108.42500000000001</v>
      </c>
      <c r="Q14" s="23">
        <f t="shared" si="1"/>
        <v>0</v>
      </c>
      <c r="R14" s="24">
        <f t="shared" si="2"/>
        <v>0.51000000000000512</v>
      </c>
      <c r="S14" s="28" t="e">
        <f t="shared" si="7"/>
        <v>#VALUE!</v>
      </c>
      <c r="T14" s="23" t="e">
        <f t="shared" si="8"/>
        <v>#VALUE!</v>
      </c>
      <c r="U14" s="26" t="str">
        <f t="shared" si="3"/>
        <v>IT490784=TT</v>
      </c>
      <c r="V14" s="23">
        <v>108.17</v>
      </c>
      <c r="W14" s="23">
        <v>108.68</v>
      </c>
      <c r="X14" s="17" t="e">
        <f ca="1">_xll.MKV("EUR.PRICING.XLS_GOVIES."&amp;$C14,X$1)</f>
        <v>#NAME?</v>
      </c>
      <c r="Y14" s="17" t="e">
        <f ca="1">_xll.MKV("EUR.PRICING.XLS_GOVIES."&amp;$C14,Y$1)</f>
        <v>#NAME?</v>
      </c>
      <c r="Z14" s="25">
        <f ca="1">IF(ISNA(C14),NA(),_xll.qlBondYieldFromCleanPrice(C14,P14,YieldDayCounter,YieldCompounding,YieldFrequency))</f>
        <v>1.1183536151312297E-2</v>
      </c>
      <c r="AA14" s="19" t="b">
        <v>1</v>
      </c>
      <c r="AB14" s="26" t="b">
        <f t="shared" si="4"/>
        <v>1</v>
      </c>
      <c r="AC14" s="24">
        <f ca="1">IF(ISNA(C14),NA(),M14-_xll.qlQuoteValue(H14))</f>
        <v>6.5573733820656344E-7</v>
      </c>
      <c r="AD14" s="97"/>
      <c r="AE14" s="98"/>
      <c r="AF14" s="99" t="e">
        <f>_xll.qlBondDescription(#REF!,Trigger)</f>
        <v>#VALUE!</v>
      </c>
      <c r="AG14" s="99" t="e">
        <f>"STRIP."&amp;#REF!</f>
        <v>#REF!</v>
      </c>
      <c r="AH14" s="100" t="e">
        <f>IF(ISNA($AG14),0,_xll.RtGet("DTSIMI2",$AG14,AH$1))</f>
        <v>#VALUE!</v>
      </c>
      <c r="AI14" s="100" t="e">
        <f>IF(ISNA($AG14),0,_xll.RtGet("DTSIMI2",$AG14,AI$1))</f>
        <v>#VALUE!</v>
      </c>
      <c r="AJ14" s="98" t="e">
        <f>IF(ISNA($AG14),0,VLOOKUP($D14,Contribution!$B$4:$B$102,2,FALSE))</f>
        <v>#N/A</v>
      </c>
      <c r="AK14" s="98" t="e">
        <f>IF(ISNA($AG14),0,VLOOKUP($D14,Contribution!$B$4:$B$102,3,FALSE))</f>
        <v>#N/A</v>
      </c>
    </row>
    <row r="15" spans="1:37" x14ac:dyDescent="0.2">
      <c r="A15" s="4"/>
      <c r="B15" s="22" t="str">
        <f>IF(ISNA(C15),NA(),_xll.qlBondDescription(C15,Trigger))</f>
        <v>BTP 2018-08-01 4.5%</v>
      </c>
      <c r="C15" s="16" t="str">
        <v>IT0004361041</v>
      </c>
      <c r="D15" s="18">
        <f>IF(ISNA(C15),NA(),_xll.qlBondMaturityDate(C15,Trigger))</f>
        <v>43313</v>
      </c>
      <c r="E15" s="19">
        <f>IF(ISNA(C15),NA(),_xll.qlBondNextCouponRate(C15,BondSettlementDate))</f>
        <v>4.4999999999999998E-2</v>
      </c>
      <c r="F15" s="30">
        <f>IF(ISNA(C15),NA(),_xll.qlBondRedemptionAmount(C15,Trigger))</f>
        <v>100</v>
      </c>
      <c r="G15" s="17" t="str">
        <f t="shared" si="5"/>
        <v>IT0004361041_Quote</v>
      </c>
      <c r="H15" s="27" t="str">
        <f t="shared" si="6"/>
        <v>IT0004361041_Quote</v>
      </c>
      <c r="I15" s="16" t="str">
        <f>IF(LEFT(B15,3)="BTP",_xll.qlBTP2(,B15,D15,E15,F15,,,,Trigger),_xll.qlCCTEU(,B15,D15,E15,F15,,,,Trigger))</f>
        <v>obj_003f3#0003</v>
      </c>
      <c r="J15" s="31" t="str">
        <f>_xll.qlBondHelper(,H15,I15)</f>
        <v>obj_00481#0003</v>
      </c>
      <c r="K15" s="26" t="str">
        <f>_xll.qlBTP2(,B15,D15,E15,F15,,,,Trigger)</f>
        <v>obj_0040d#0003</v>
      </c>
      <c r="L15" s="26" t="b">
        <f>_xll.qlInstrumentSetPricingEngine(K15,BondPricingEngine)</f>
        <v>1</v>
      </c>
      <c r="M15" s="23">
        <f ca="1">_xll.qlBondCleanPrice(K15,AND(ISERROR(L15),ISERROR(N15)))</f>
        <v>112.44500086956518</v>
      </c>
      <c r="N15" s="27">
        <f ca="1">_xll.qlSimpleQuoteSetValue(G15,P15)</f>
        <v>0</v>
      </c>
      <c r="O15" s="29" t="e">
        <f>_xll.qlSimpleQuoteSetValue(#REF!,Q15)</f>
        <v>#VALUE!</v>
      </c>
      <c r="P15" s="27">
        <f t="shared" ca="1" si="0"/>
        <v>112.44499999999999</v>
      </c>
      <c r="Q15" s="23">
        <f t="shared" si="1"/>
        <v>0</v>
      </c>
      <c r="R15" s="24">
        <f t="shared" si="2"/>
        <v>0.51000000000000512</v>
      </c>
      <c r="S15" s="28" t="e">
        <f t="shared" si="7"/>
        <v>#VALUE!</v>
      </c>
      <c r="T15" s="23" t="e">
        <f t="shared" si="8"/>
        <v>#VALUE!</v>
      </c>
      <c r="U15" s="26" t="str">
        <f t="shared" si="3"/>
        <v>IT436104=TT</v>
      </c>
      <c r="V15" s="23">
        <v>112.19</v>
      </c>
      <c r="W15" s="23">
        <v>112.7</v>
      </c>
      <c r="X15" s="17" t="e">
        <f ca="1">_xll.MKV("EUR.PRICING.XLS_GOVIES."&amp;$C15,X$1)</f>
        <v>#NAME?</v>
      </c>
      <c r="Y15" s="17" t="e">
        <f ca="1">_xll.MKV("EUR.PRICING.XLS_GOVIES."&amp;$C15,Y$1)</f>
        <v>#NAME?</v>
      </c>
      <c r="Z15" s="25">
        <f ca="1">IF(ISNA(C15),NA(),_xll.qlBondYieldFromCleanPrice(C15,P15,YieldDayCounter,YieldCompounding,YieldFrequency))</f>
        <v>1.1325970684550709E-2</v>
      </c>
      <c r="AA15" s="19" t="b">
        <v>1</v>
      </c>
      <c r="AB15" s="26" t="b">
        <f t="shared" si="4"/>
        <v>1</v>
      </c>
      <c r="AC15" s="24">
        <f ca="1">IF(ISNA(C15),NA(),M15-_xll.qlQuoteValue(H15))</f>
        <v>8.695651843027008E-7</v>
      </c>
      <c r="AD15" s="11"/>
      <c r="AE15" s="1"/>
      <c r="AF15" s="33" t="e">
        <f>_xll.qlBondDescription(#REF!,Trigger)</f>
        <v>#VALUE!</v>
      </c>
      <c r="AG15" s="33" t="e">
        <f>"STRIP."&amp;#REF!</f>
        <v>#REF!</v>
      </c>
      <c r="AH15" s="32" t="e">
        <f>IF(ISNA($AG15),0,_xll.RtGet("DTSIMI2",$AG15,AH$1))</f>
        <v>#VALUE!</v>
      </c>
      <c r="AI15" s="32" t="e">
        <f>IF(ISNA($AG15),0,_xll.RtGet("DTSIMI2",$AG15,AI$1))</f>
        <v>#VALUE!</v>
      </c>
      <c r="AJ15" s="1" t="e">
        <f>IF(ISNA($AG15),0,VLOOKUP($D15,Contribution!$B$4:$B$102,2,FALSE))</f>
        <v>#REF!</v>
      </c>
      <c r="AK15" s="1" t="e">
        <f>IF(ISNA($AG15),0,VLOOKUP($D15,Contribution!$B$4:$B$102,3,FALSE))</f>
        <v>#REF!</v>
      </c>
    </row>
    <row r="16" spans="1:37" x14ac:dyDescent="0.2">
      <c r="A16" s="4"/>
      <c r="B16" s="22" t="str">
        <f>IF(ISNA(C16),NA(),_xll.qlBondDescription(C16,Trigger))</f>
        <v>BTP 2018-12-01 3.5%</v>
      </c>
      <c r="C16" s="16" t="str">
        <v>IT0004957574</v>
      </c>
      <c r="D16" s="18">
        <f>IF(ISNA(C16),NA(),_xll.qlBondMaturityDate(C16,Trigger))</f>
        <v>43435</v>
      </c>
      <c r="E16" s="19">
        <f>IF(ISNA(C16),NA(),_xll.qlBondNextCouponRate(C16,BondSettlementDate))</f>
        <v>3.5000000000000003E-2</v>
      </c>
      <c r="F16" s="30">
        <f>IF(ISNA(C16),NA(),_xll.qlBondRedemptionAmount(C16,Trigger))</f>
        <v>100</v>
      </c>
      <c r="G16" s="17" t="str">
        <f t="shared" si="5"/>
        <v>IT0004957574_Quote</v>
      </c>
      <c r="H16" s="27" t="str">
        <f t="shared" si="6"/>
        <v>IT0004957574_Quote</v>
      </c>
      <c r="I16" s="16" t="str">
        <f>IF(LEFT(B16,3)="BTP",_xll.qlBTP2(,B16,D16,E16,F16,,,,Trigger),_xll.qlCCTEU(,B16,D16,E16,F16,,,,Trigger))</f>
        <v>obj_00405#0003</v>
      </c>
      <c r="J16" s="31" t="str">
        <f>_xll.qlBondHelper(,H16,I16)</f>
        <v>obj_0047f#0003</v>
      </c>
      <c r="K16" s="26" t="str">
        <f>_xll.qlBTP2(,B16,D16,E16,F16,,,,Trigger)</f>
        <v>obj_003fb#0003</v>
      </c>
      <c r="L16" s="26" t="b">
        <f>_xll.qlInstrumentSetPricingEngine(K16,BondPricingEngine)</f>
        <v>1</v>
      </c>
      <c r="M16" s="23">
        <f ca="1">_xll.qlBondCleanPrice(K16,AND(ISERROR(L16),ISERROR(N16)))</f>
        <v>109.40500065580019</v>
      </c>
      <c r="N16" s="27">
        <f ca="1">_xll.qlSimpleQuoteSetValue(G16,P16)</f>
        <v>0</v>
      </c>
      <c r="O16" s="29" t="e">
        <f>_xll.qlSimpleQuoteSetValue(#REF!,Q16)</f>
        <v>#VALUE!</v>
      </c>
      <c r="P16" s="27">
        <f t="shared" ca="1" si="0"/>
        <v>109.405</v>
      </c>
      <c r="Q16" s="23">
        <f t="shared" si="1"/>
        <v>0</v>
      </c>
      <c r="R16" s="24">
        <f t="shared" si="2"/>
        <v>0.50999999999999091</v>
      </c>
      <c r="S16" s="28" t="e">
        <f t="shared" si="7"/>
        <v>#VALUE!</v>
      </c>
      <c r="T16" s="23" t="e">
        <f t="shared" si="8"/>
        <v>#VALUE!</v>
      </c>
      <c r="U16" s="26" t="str">
        <f t="shared" si="3"/>
        <v>IT495757=TT</v>
      </c>
      <c r="V16" s="23">
        <v>109.15</v>
      </c>
      <c r="W16" s="23">
        <v>109.66</v>
      </c>
      <c r="X16" s="17" t="e">
        <f ca="1">_xll.MKV("EUR.PRICING.XLS_GOVIES."&amp;$C16,X$1)</f>
        <v>#NAME?</v>
      </c>
      <c r="Y16" s="17" t="e">
        <f ca="1">_xll.MKV("EUR.PRICING.XLS_GOVIES."&amp;$C16,Y$1)</f>
        <v>#NAME?</v>
      </c>
      <c r="Z16" s="25">
        <f ca="1">IF(ISNA(C16),NA(),_xll.qlBondYieldFromCleanPrice(C16,P16,YieldDayCounter,YieldCompounding,YieldFrequency))</f>
        <v>1.154742463649059E-2</v>
      </c>
      <c r="AA16" s="19" t="b">
        <v>1</v>
      </c>
      <c r="AB16" s="26" t="b">
        <f t="shared" si="4"/>
        <v>1</v>
      </c>
      <c r="AC16" s="24">
        <f ca="1">IF(ISNA(C16),NA(),M16-_xll.qlQuoteValue(H16))</f>
        <v>6.5580019281696877E-7</v>
      </c>
      <c r="AD16" s="11"/>
      <c r="AE16" s="1"/>
      <c r="AF16" s="33" t="e">
        <f>_xll.qlBondDescription(#REF!,Trigger)</f>
        <v>#VALUE!</v>
      </c>
      <c r="AG16" s="33" t="e">
        <f>"STRIP."&amp;#REF!</f>
        <v>#REF!</v>
      </c>
      <c r="AH16" s="32" t="e">
        <f>IF(ISNA($AG16),0,_xll.RtGet("DTSIMI2",$AG16,AH$1))</f>
        <v>#VALUE!</v>
      </c>
      <c r="AI16" s="32" t="e">
        <f>IF(ISNA($AG16),0,_xll.RtGet("DTSIMI2",$AG16,AI$1))</f>
        <v>#VALUE!</v>
      </c>
      <c r="AJ16" s="1" t="e">
        <f>IF(ISNA($AG16),0,VLOOKUP($D16,Contribution!$B$4:$B$102,2,FALSE))</f>
        <v>#N/A</v>
      </c>
      <c r="AK16" s="1" t="e">
        <f>IF(ISNA($AG16),0,VLOOKUP($D16,Contribution!$B$4:$B$102,3,FALSE))</f>
        <v>#N/A</v>
      </c>
    </row>
    <row r="17" spans="1:38" x14ac:dyDescent="0.2">
      <c r="A17" s="4"/>
      <c r="B17" s="22" t="str">
        <f>IF(ISNA(C17),NA(),_xll.qlBondDescription(C17,Trigger))</f>
        <v>BTP 2019-02-01 4.25%</v>
      </c>
      <c r="C17" s="16" t="str">
        <v>IT0003493258</v>
      </c>
      <c r="D17" s="18">
        <f>IF(ISNA(C17),NA(),_xll.qlBondMaturityDate(C17,Trigger))</f>
        <v>43497</v>
      </c>
      <c r="E17" s="19">
        <f>IF(ISNA(C17),NA(),_xll.qlBondNextCouponRate(C17,BondSettlementDate))</f>
        <v>4.2500000000000003E-2</v>
      </c>
      <c r="F17" s="30">
        <f>IF(ISNA(C17),NA(),_xll.qlBondRedemptionAmount(C17,Trigger))</f>
        <v>100</v>
      </c>
      <c r="G17" s="17" t="str">
        <f t="shared" si="5"/>
        <v>IT0003493258_Quote</v>
      </c>
      <c r="H17" s="27" t="str">
        <f t="shared" si="6"/>
        <v>IT0003493258_Quote</v>
      </c>
      <c r="I17" s="16" t="str">
        <f>IF(LEFT(B17,3)="BTP",_xll.qlBTP2(,B17,D17,E17,F17,,,,Trigger),_xll.qlCCTEU(,B17,D17,E17,F17,,,,Trigger))</f>
        <v>obj_00425#0003</v>
      </c>
      <c r="J17" s="31" t="str">
        <f>_xll.qlBondHelper(,H17,I17)</f>
        <v>obj_00482#0003</v>
      </c>
      <c r="K17" s="26" t="str">
        <f>_xll.qlBTP2(,B17,D17,E17,F17,,,,Trigger)</f>
        <v>obj_003f5#0003</v>
      </c>
      <c r="L17" s="26" t="b">
        <f>_xll.qlInstrumentSetPricingEngine(K17,BondPricingEngine)</f>
        <v>1</v>
      </c>
      <c r="M17" s="23">
        <f ca="1">_xll.qlBondCleanPrice(K17,AND(ISERROR(L17),ISERROR(N17)))</f>
        <v>112.81500304347824</v>
      </c>
      <c r="N17" s="27">
        <f ca="1">_xll.qlSimpleQuoteSetValue(G17,P17)</f>
        <v>0</v>
      </c>
      <c r="O17" s="29" t="e">
        <f>_xll.qlSimpleQuoteSetValue(#REF!,Q17)</f>
        <v>#VALUE!</v>
      </c>
      <c r="P17" s="27">
        <f t="shared" ca="1" si="0"/>
        <v>112.815</v>
      </c>
      <c r="Q17" s="23">
        <f t="shared" si="1"/>
        <v>0</v>
      </c>
      <c r="R17" s="24">
        <f t="shared" si="2"/>
        <v>0.45000000000000284</v>
      </c>
      <c r="S17" s="28" t="e">
        <f t="shared" si="7"/>
        <v>#VALUE!</v>
      </c>
      <c r="T17" s="23" t="e">
        <f t="shared" si="8"/>
        <v>#VALUE!</v>
      </c>
      <c r="U17" s="26" t="str">
        <f t="shared" si="3"/>
        <v>IT349325=TT</v>
      </c>
      <c r="V17" s="23">
        <v>112.59</v>
      </c>
      <c r="W17" s="23">
        <v>113.04</v>
      </c>
      <c r="X17" s="17" t="e">
        <f ca="1">_xll.MKV("EUR.PRICING.XLS_GOVIES."&amp;$C17,X$1)</f>
        <v>#NAME?</v>
      </c>
      <c r="Y17" s="17" t="e">
        <f ca="1">_xll.MKV("EUR.PRICING.XLS_GOVIES."&amp;$C17,Y$1)</f>
        <v>#NAME?</v>
      </c>
      <c r="Z17" s="25">
        <f ca="1">IF(ISNA(C17),NA(),_xll.qlBondYieldFromCleanPrice(C17,P17,YieldDayCounter,YieldCompounding,YieldFrequency))</f>
        <v>1.1761555160023276E-2</v>
      </c>
      <c r="AA17" s="19" t="b">
        <v>1</v>
      </c>
      <c r="AB17" s="26" t="b">
        <f t="shared" si="4"/>
        <v>1</v>
      </c>
      <c r="AC17" s="24">
        <f ca="1">IF(ISNA(C17),NA(),M17-_xll.qlQuoteValue(H17))</f>
        <v>3.0434782445354358E-6</v>
      </c>
      <c r="AD17" s="11"/>
      <c r="AE17" s="1"/>
      <c r="AF17" s="33" t="e">
        <f>_xll.qlBondDescription(#REF!,Trigger)</f>
        <v>#VALUE!</v>
      </c>
      <c r="AG17" s="33" t="e">
        <f>"STRIP."&amp;#REF!</f>
        <v>#REF!</v>
      </c>
      <c r="AH17" s="32" t="e">
        <f>IF(ISNA($AG17),0,_xll.RtGet("DTSIMI2",$AG17,AH$1))</f>
        <v>#VALUE!</v>
      </c>
      <c r="AI17" s="32" t="e">
        <f>IF(ISNA($AG17),0,_xll.RtGet("DTSIMI2",$AG17,AI$1))</f>
        <v>#VALUE!</v>
      </c>
      <c r="AJ17" s="1" t="e">
        <f>IF(ISNA($AG17),0,VLOOKUP($D17,Contribution!$B$4:$B$102,2,FALSE))</f>
        <v>#REF!</v>
      </c>
      <c r="AK17" s="1" t="e">
        <f>IF(ISNA($AG17),0,VLOOKUP($D17,Contribution!$B$4:$B$102,3,FALSE))</f>
        <v>#REF!</v>
      </c>
    </row>
    <row r="18" spans="1:38" x14ac:dyDescent="0.2">
      <c r="A18" s="4"/>
      <c r="B18" s="22" t="str">
        <f>IF(ISNA(C18),NA(),_xll.qlBondDescription(C18,Trigger))</f>
        <v>BTP 2019-03-01 4.5%</v>
      </c>
      <c r="C18" s="16" t="str">
        <v>IT0004423957</v>
      </c>
      <c r="D18" s="18">
        <f>IF(ISNA(C18),NA(),_xll.qlBondMaturityDate(C18,Trigger))</f>
        <v>43525</v>
      </c>
      <c r="E18" s="19">
        <f>IF(ISNA(C18),NA(),_xll.qlBondNextCouponRate(C18,BondSettlementDate))</f>
        <v>4.4999999999999998E-2</v>
      </c>
      <c r="F18" s="30">
        <f>IF(ISNA(C18),NA(),_xll.qlBondRedemptionAmount(C18,Trigger))</f>
        <v>100</v>
      </c>
      <c r="G18" s="17" t="str">
        <f t="shared" si="5"/>
        <v>IT0004423957_Quote</v>
      </c>
      <c r="H18" s="27" t="str">
        <f t="shared" si="6"/>
        <v>IT0004423957_Quote</v>
      </c>
      <c r="I18" s="16" t="str">
        <f>IF(LEFT(B18,3)="BTP",_xll.qlBTP2(,B18,D18,E18,F18,,,,Trigger),_xll.qlCCTEU(,B18,D18,E18,F18,,,,Trigger))</f>
        <v>obj_00404#0003</v>
      </c>
      <c r="J18" s="31" t="str">
        <f>_xll.qlBondHelper(,H18,I18)</f>
        <v>obj_0048f#0003</v>
      </c>
      <c r="K18" s="26" t="str">
        <f>_xll.qlBTP2(,B18,D18,E18,F18,,,,Trigger)</f>
        <v>obj_003e3#0003</v>
      </c>
      <c r="L18" s="26" t="b">
        <f>_xll.qlInstrumentSetPricingEngine(K18,BondPricingEngine)</f>
        <v>1</v>
      </c>
      <c r="M18" s="23">
        <f ca="1">_xll.qlBondCleanPrice(K18,AND(ISERROR(L18),ISERROR(N18)))</f>
        <v>114.02999602211776</v>
      </c>
      <c r="N18" s="27">
        <f ca="1">_xll.qlSimpleQuoteSetValue(G18,P18)</f>
        <v>0</v>
      </c>
      <c r="O18" s="29" t="e">
        <f>_xll.qlSimpleQuoteSetValue(#REF!,Q18)</f>
        <v>#VALUE!</v>
      </c>
      <c r="P18" s="27">
        <f t="shared" ca="1" si="0"/>
        <v>114.03</v>
      </c>
      <c r="Q18" s="23">
        <f t="shared" si="1"/>
        <v>0</v>
      </c>
      <c r="R18" s="24">
        <f t="shared" si="2"/>
        <v>0.30000000000001137</v>
      </c>
      <c r="S18" s="28" t="e">
        <f t="shared" si="7"/>
        <v>#VALUE!</v>
      </c>
      <c r="T18" s="23" t="e">
        <f t="shared" si="8"/>
        <v>#VALUE!</v>
      </c>
      <c r="U18" s="26" t="str">
        <f t="shared" si="3"/>
        <v>IT442395=TT</v>
      </c>
      <c r="V18" s="23">
        <v>113.88</v>
      </c>
      <c r="W18" s="23">
        <v>114.18</v>
      </c>
      <c r="X18" s="17" t="e">
        <f ca="1">_xll.MKV("EUR.PRICING.XLS_GOVIES."&amp;$C18,X$1)</f>
        <v>#NAME?</v>
      </c>
      <c r="Y18" s="17" t="e">
        <f ca="1">_xll.MKV("EUR.PRICING.XLS_GOVIES."&amp;$C18,Y$1)</f>
        <v>#NAME?</v>
      </c>
      <c r="Z18" s="25">
        <f ca="1">IF(ISNA(C18),NA(),_xll.qlBondYieldFromCleanPrice(C18,P18,YieldDayCounter,YieldCompounding,YieldFrequency))</f>
        <v>1.1948608110584322E-2</v>
      </c>
      <c r="AA18" s="19" t="b">
        <v>1</v>
      </c>
      <c r="AB18" s="26" t="b">
        <f t="shared" si="4"/>
        <v>1</v>
      </c>
      <c r="AC18" s="24">
        <f ca="1">IF(ISNA(C18),NA(),M18-_xll.qlQuoteValue(H18))</f>
        <v>-3.9778822440439399E-6</v>
      </c>
      <c r="AD18" s="11"/>
      <c r="AE18" s="1"/>
      <c r="AF18" s="33" t="e">
        <f>_xll.qlBondDescription(#REF!,Trigger)</f>
        <v>#VALUE!</v>
      </c>
      <c r="AG18" s="33" t="e">
        <f>"STRIP."&amp;#REF!</f>
        <v>#REF!</v>
      </c>
      <c r="AH18" s="32" t="e">
        <f>IF(ISNA($AG18),0,_xll.RtGet("DTSIMI2",$AG18,AH$1))</f>
        <v>#VALUE!</v>
      </c>
      <c r="AI18" s="32" t="e">
        <f>IF(ISNA($AG18),0,_xll.RtGet("DTSIMI2",$AG18,AI$1))</f>
        <v>#VALUE!</v>
      </c>
      <c r="AJ18" s="1" t="e">
        <f>IF(ISNA($AG18),0,VLOOKUP($D18,Contribution!$B$4:$B$102,2,FALSE))</f>
        <v>#REF!</v>
      </c>
      <c r="AK18" s="1" t="e">
        <f>IF(ISNA($AG18),0,VLOOKUP($D18,Contribution!$B$4:$B$102,3,FALSE))</f>
        <v>#REF!</v>
      </c>
    </row>
    <row r="19" spans="1:38" x14ac:dyDescent="0.2">
      <c r="A19" s="4"/>
      <c r="B19" s="22" t="str">
        <f>IF(ISNA(C19),NA(),_xll.qlBondDescription(C19,Trigger))</f>
        <v>BTP 2019-09-01 4.25%</v>
      </c>
      <c r="C19" s="16" t="str">
        <v>IT0004489610</v>
      </c>
      <c r="D19" s="18">
        <f>IF(ISNA(C19),NA(),_xll.qlBondMaturityDate(C19,Trigger))</f>
        <v>43709</v>
      </c>
      <c r="E19" s="19">
        <f>IF(ISNA(C19),NA(),_xll.qlBondNextCouponRate(C19,BondSettlementDate))</f>
        <v>4.2500000000000003E-2</v>
      </c>
      <c r="F19" s="30">
        <f>IF(ISNA(C19),NA(),_xll.qlBondRedemptionAmount(C19,Trigger))</f>
        <v>100</v>
      </c>
      <c r="G19" s="17" t="str">
        <f t="shared" si="5"/>
        <v>IT0004489610_Quote</v>
      </c>
      <c r="H19" s="27" t="str">
        <f t="shared" si="6"/>
        <v>IT0004489610_Quote</v>
      </c>
      <c r="I19" s="16" t="str">
        <f>IF(LEFT(B19,3)="BTP",_xll.qlBTP2(,B19,D19,E19,F19,,,,Trigger),_xll.qlCCTEU(,B19,D19,E19,F19,,,,Trigger))</f>
        <v>obj_003e9#0003</v>
      </c>
      <c r="J19" s="31" t="str">
        <f>_xll.qlBondHelper(,H19,I19)</f>
        <v>obj_00494#0003</v>
      </c>
      <c r="K19" s="26" t="str">
        <f>_xll.qlBTP2(,B19,D19,E19,F19,,,,Trigger)</f>
        <v>obj_003f1#0003</v>
      </c>
      <c r="L19" s="26" t="b">
        <f>_xll.qlInstrumentSetPricingEngine(K19,BondPricingEngine)</f>
        <v>1</v>
      </c>
      <c r="M19" s="23">
        <f ca="1">_xll.qlBondCleanPrice(K19,AND(ISERROR(L19),ISERROR(N19)))</f>
        <v>113.91499624309346</v>
      </c>
      <c r="N19" s="27">
        <f ca="1">_xll.qlSimpleQuoteSetValue(G19,P19)</f>
        <v>0</v>
      </c>
      <c r="O19" s="29" t="e">
        <f>_xll.qlSimpleQuoteSetValue(#REF!,Q19)</f>
        <v>#VALUE!</v>
      </c>
      <c r="P19" s="27">
        <f t="shared" ca="1" si="0"/>
        <v>113.91499999999999</v>
      </c>
      <c r="Q19" s="23">
        <f t="shared" si="1"/>
        <v>0</v>
      </c>
      <c r="R19" s="24">
        <f t="shared" si="2"/>
        <v>0.45000000000000284</v>
      </c>
      <c r="S19" s="28" t="e">
        <f t="shared" si="7"/>
        <v>#VALUE!</v>
      </c>
      <c r="T19" s="23" t="e">
        <f t="shared" si="8"/>
        <v>#VALUE!</v>
      </c>
      <c r="U19" s="26" t="str">
        <f t="shared" si="3"/>
        <v>IT448961=TT</v>
      </c>
      <c r="V19" s="23">
        <v>113.69</v>
      </c>
      <c r="W19" s="23">
        <v>114.14</v>
      </c>
      <c r="X19" s="17" t="e">
        <f ca="1">_xll.MKV("EUR.PRICING.XLS_GOVIES."&amp;$C19,X$1)</f>
        <v>#NAME?</v>
      </c>
      <c r="Y19" s="17" t="e">
        <f ca="1">_xll.MKV("EUR.PRICING.XLS_GOVIES."&amp;$C19,Y$1)</f>
        <v>#NAME?</v>
      </c>
      <c r="Z19" s="25">
        <f ca="1">IF(ISNA(C19),NA(),_xll.qlBondYieldFromCleanPrice(C19,P19,YieldDayCounter,YieldCompounding,YieldFrequency))</f>
        <v>1.2928594998048099E-2</v>
      </c>
      <c r="AA19" s="19" t="b">
        <v>1</v>
      </c>
      <c r="AB19" s="26" t="b">
        <f t="shared" si="4"/>
        <v>1</v>
      </c>
      <c r="AC19" s="24">
        <f ca="1">IF(ISNA(C19),NA(),M19-_xll.qlQuoteValue(H19))</f>
        <v>-3.7569065369780219E-6</v>
      </c>
      <c r="AD19" s="11"/>
      <c r="AE19" s="1"/>
      <c r="AF19" s="33" t="e">
        <f>_xll.qlBondDescription(#REF!,Trigger)</f>
        <v>#VALUE!</v>
      </c>
      <c r="AG19" s="33" t="e">
        <f>"STRIP."&amp;#REF!</f>
        <v>#REF!</v>
      </c>
      <c r="AH19" s="32" t="e">
        <f>IF(ISNA($AG19),0,_xll.RtGet("DTSIMI2",$AG19,AH$1))</f>
        <v>#VALUE!</v>
      </c>
      <c r="AI19" s="32" t="e">
        <f>IF(ISNA($AG19),0,_xll.RtGet("DTSIMI2",$AG19,AI$1))</f>
        <v>#VALUE!</v>
      </c>
      <c r="AJ19" s="1" t="e">
        <f>IF(ISNA($AG19),0,VLOOKUP($D19,Contribution!$B$4:$B$102,2,FALSE))</f>
        <v>#REF!</v>
      </c>
      <c r="AK19" s="1" t="e">
        <f>IF(ISNA($AG19),0,VLOOKUP($D19,Contribution!$B$4:$B$102,3,FALSE))</f>
        <v>#REF!</v>
      </c>
    </row>
    <row r="20" spans="1:38" x14ac:dyDescent="0.2">
      <c r="A20" s="4"/>
      <c r="B20" s="22" t="str">
        <f>IF(ISNA(C20),NA(),_xll.qlBondDescription(C20,Trigger))</f>
        <v>BTP 2020-02-01 4.5%</v>
      </c>
      <c r="C20" s="16" t="str">
        <v>IT0003644769</v>
      </c>
      <c r="D20" s="18">
        <f>IF(ISNA(C20),NA(),_xll.qlBondMaturityDate(C20,Trigger))</f>
        <v>43862</v>
      </c>
      <c r="E20" s="19">
        <f>IF(ISNA(C20),NA(),_xll.qlBondNextCouponRate(C20,BondSettlementDate))</f>
        <v>4.4999999999999998E-2</v>
      </c>
      <c r="F20" s="30">
        <f>IF(ISNA(C20),NA(),_xll.qlBondRedemptionAmount(C20,Trigger))</f>
        <v>100</v>
      </c>
      <c r="G20" s="17" t="str">
        <f t="shared" si="5"/>
        <v>IT0003644769_Quote</v>
      </c>
      <c r="H20" s="27" t="str">
        <f t="shared" si="6"/>
        <v>IT0003644769_Quote</v>
      </c>
      <c r="I20" s="16" t="str">
        <f>IF(LEFT(B20,3)="BTP",_xll.qlBTP2(,B20,D20,E20,F20,,,,Trigger),_xll.qlCCTEU(,B20,D20,E20,F20,,,,Trigger))</f>
        <v>obj_003e7#0003</v>
      </c>
      <c r="J20" s="31" t="str">
        <f>_xll.qlBondHelper(,H20,I20)</f>
        <v>obj_00468#0003</v>
      </c>
      <c r="K20" s="26" t="str">
        <f>_xll.qlBTP2(,B20,D20,E20,F20,,,,Trigger)</f>
        <v>obj_00427#0003</v>
      </c>
      <c r="L20" s="26" t="b">
        <f>_xll.qlInstrumentSetPricingEngine(K20,BondPricingEngine)</f>
        <v>1</v>
      </c>
      <c r="M20" s="23">
        <f ca="1">_xll.qlBondCleanPrice(K20,AND(ISERROR(L20),ISERROR(N20)))</f>
        <v>115.67000086961964</v>
      </c>
      <c r="N20" s="27">
        <f ca="1">_xll.qlSimpleQuoteSetValue(G20,P20)</f>
        <v>0</v>
      </c>
      <c r="O20" s="29" t="e">
        <f>_xll.qlSimpleQuoteSetValue(#REF!,Q20)</f>
        <v>#VALUE!</v>
      </c>
      <c r="P20" s="27">
        <f t="shared" ca="1" si="0"/>
        <v>115.67</v>
      </c>
      <c r="Q20" s="23">
        <f t="shared" si="1"/>
        <v>0</v>
      </c>
      <c r="R20" s="24">
        <f t="shared" si="2"/>
        <v>0.18000000000000682</v>
      </c>
      <c r="S20" s="28" t="e">
        <f t="shared" si="7"/>
        <v>#VALUE!</v>
      </c>
      <c r="T20" s="23" t="e">
        <f t="shared" si="8"/>
        <v>#VALUE!</v>
      </c>
      <c r="U20" s="26" t="str">
        <f t="shared" si="3"/>
        <v>IT364476=TT</v>
      </c>
      <c r="V20" s="23">
        <v>115.58</v>
      </c>
      <c r="W20" s="23">
        <v>115.76</v>
      </c>
      <c r="X20" s="17" t="e">
        <f ca="1">_xll.MKV("EUR.PRICING.XLS_GOVIES."&amp;$C20,X$1)</f>
        <v>#NAME?</v>
      </c>
      <c r="Y20" s="17" t="e">
        <f ca="1">_xll.MKV("EUR.PRICING.XLS_GOVIES."&amp;$C20,Y$1)</f>
        <v>#NAME?</v>
      </c>
      <c r="Z20" s="25">
        <f ca="1">IF(ISNA(C20),NA(),_xll.qlBondYieldFromCleanPrice(C20,P20,YieldDayCounter,YieldCompounding,YieldFrequency))</f>
        <v>1.4145085156150171E-2</v>
      </c>
      <c r="AA20" s="19" t="b">
        <v>1</v>
      </c>
      <c r="AB20" s="26" t="b">
        <f t="shared" si="4"/>
        <v>1</v>
      </c>
      <c r="AC20" s="24">
        <f ca="1">IF(ISNA(C20),NA(),M20-_xll.qlQuoteValue(H20))</f>
        <v>8.6961964029796945E-7</v>
      </c>
      <c r="AD20" s="11"/>
      <c r="AE20" s="1"/>
      <c r="AF20" s="33" t="e">
        <f>_xll.qlBondDescription(#REF!,Trigger)</f>
        <v>#VALUE!</v>
      </c>
      <c r="AG20" s="33" t="e">
        <f>"STRIP."&amp;#REF!</f>
        <v>#REF!</v>
      </c>
      <c r="AH20" s="32" t="e">
        <f>IF(ISNA($AG20),0,_xll.RtGet("DTSIMI2",$AG20,AH$1))</f>
        <v>#VALUE!</v>
      </c>
      <c r="AI20" s="32" t="e">
        <f>IF(ISNA($AG20),0,_xll.RtGet("DTSIMI2",$AG20,AI$1))</f>
        <v>#VALUE!</v>
      </c>
      <c r="AJ20" s="1" t="e">
        <f>IF(ISNA($AG20),0,VLOOKUP($D20,Contribution!$B$4:$B$102,2,FALSE))</f>
        <v>#REF!</v>
      </c>
      <c r="AK20" s="1" t="e">
        <f>IF(ISNA($AG20),0,VLOOKUP($D20,Contribution!$B$4:$B$102,3,FALSE))</f>
        <v>#REF!</v>
      </c>
    </row>
    <row r="21" spans="1:38" x14ac:dyDescent="0.2">
      <c r="A21" s="4"/>
      <c r="B21" s="22" t="str">
        <f>IF(ISNA(C21),NA(),_xll.qlBondDescription(C21,Trigger))</f>
        <v>BTP 2020-03-01 4.25%</v>
      </c>
      <c r="C21" s="16" t="str">
        <v>IT0004536949</v>
      </c>
      <c r="D21" s="18">
        <f>IF(ISNA(C21),NA(),_xll.qlBondMaturityDate(C21,Trigger))</f>
        <v>43891</v>
      </c>
      <c r="E21" s="19">
        <f>IF(ISNA(C21),NA(),_xll.qlBondNextCouponRate(C21,BondSettlementDate))</f>
        <v>4.2500000000000003E-2</v>
      </c>
      <c r="F21" s="30">
        <f>IF(ISNA(C21),NA(),_xll.qlBondRedemptionAmount(C21,Trigger))</f>
        <v>100</v>
      </c>
      <c r="G21" s="17" t="str">
        <f t="shared" si="5"/>
        <v>IT0004536949_Quote</v>
      </c>
      <c r="H21" s="27" t="str">
        <f t="shared" si="6"/>
        <v>IT0004536949_Quote</v>
      </c>
      <c r="I21" s="16" t="str">
        <f>IF(LEFT(B21,3)="BTP",_xll.qlBTP2(,B21,D21,E21,F21,,,,Trigger),_xll.qlCCTEU(,B21,D21,E21,F21,,,,Trigger))</f>
        <v>obj_0040e#0003</v>
      </c>
      <c r="J21" s="31" t="str">
        <f>_xll.qlBondHelper(,H21,I21)</f>
        <v>obj_0043a#0003</v>
      </c>
      <c r="K21" s="26" t="str">
        <f>_xll.qlBTP2(,B21,D21,E21,F21,,,,Trigger)</f>
        <v>obj_003f2#0003</v>
      </c>
      <c r="L21" s="26" t="b">
        <f>_xll.qlInstrumentSetPricingEngine(K21,BondPricingEngine)</f>
        <v>1</v>
      </c>
      <c r="M21" s="23">
        <f ca="1">_xll.qlBondCleanPrice(K21,AND(ISERROR(L21),ISERROR(N21)))</f>
        <v>114.55499624309395</v>
      </c>
      <c r="N21" s="27">
        <f ca="1">_xll.qlSimpleQuoteSetValue(G21,P21)</f>
        <v>0</v>
      </c>
      <c r="O21" s="29" t="e">
        <f>_xll.qlSimpleQuoteSetValue(#REF!,Q21)</f>
        <v>#VALUE!</v>
      </c>
      <c r="P21" s="27">
        <f t="shared" ca="1" si="0"/>
        <v>114.55500000000001</v>
      </c>
      <c r="Q21" s="23">
        <f t="shared" si="1"/>
        <v>0</v>
      </c>
      <c r="R21" s="24">
        <f t="shared" si="2"/>
        <v>0.25</v>
      </c>
      <c r="S21" s="28">
        <v>0</v>
      </c>
      <c r="T21" s="23">
        <v>0</v>
      </c>
      <c r="U21" s="26" t="str">
        <f t="shared" si="3"/>
        <v>IT453694=TT</v>
      </c>
      <c r="V21" s="23">
        <v>114.43</v>
      </c>
      <c r="W21" s="23">
        <v>114.68</v>
      </c>
      <c r="X21" s="17" t="e">
        <f ca="1">_xll.MKV("EUR.PRICING.XLS_GOVIES."&amp;$C21,X$1)</f>
        <v>#NAME?</v>
      </c>
      <c r="Y21" s="17" t="e">
        <f ca="1">_xll.MKV("EUR.PRICING.XLS_GOVIES."&amp;$C21,Y$1)</f>
        <v>#NAME?</v>
      </c>
      <c r="Z21" s="25">
        <f ca="1">IF(ISNA(C21),NA(),_xll.qlBondYieldFromCleanPrice(C21,P21,YieldDayCounter,YieldCompounding,YieldFrequency))</f>
        <v>1.4264731198586525E-2</v>
      </c>
      <c r="AA21" s="19" t="b">
        <v>1</v>
      </c>
      <c r="AB21" s="26" t="b">
        <f t="shared" si="4"/>
        <v>1</v>
      </c>
      <c r="AC21" s="24">
        <f ca="1">IF(ISNA(C21),NA(),M21-_xll.qlQuoteValue(H21))</f>
        <v>-3.7569060538089616E-6</v>
      </c>
      <c r="AD21" s="11"/>
      <c r="AE21" s="1"/>
      <c r="AF21" s="33" t="e">
        <f>_xll.qlBondDescription(#REF!,Trigger)</f>
        <v>#VALUE!</v>
      </c>
      <c r="AG21" s="33" t="e">
        <f>"STRIP."&amp;#REF!</f>
        <v>#REF!</v>
      </c>
      <c r="AH21" s="32" t="e">
        <f>IF(ISNA($AG21),0,_xll.RtGet("DTSIMI2",$AG21,AH$1))</f>
        <v>#VALUE!</v>
      </c>
      <c r="AI21" s="32" t="e">
        <f>IF(ISNA($AG21),0,_xll.RtGet("DTSIMI2",$AG21,AI$1))</f>
        <v>#VALUE!</v>
      </c>
      <c r="AJ21" s="1" t="e">
        <f>IF(ISNA($AG21),0,VLOOKUP($D21,Contribution!$B$4:$B$102,2,FALSE))</f>
        <v>#REF!</v>
      </c>
      <c r="AK21" s="1" t="e">
        <f>IF(ISNA($AG21),0,VLOOKUP($D21,Contribution!$B$4:$B$102,3,FALSE))</f>
        <v>#REF!</v>
      </c>
    </row>
    <row r="22" spans="1:38" x14ac:dyDescent="0.2">
      <c r="A22" s="4"/>
      <c r="B22" s="22" t="str">
        <f>IF(ISNA(C22),NA(),_xll.qlBondDescription(C22,Trigger))</f>
        <v>BTP 2020-09-01 4%</v>
      </c>
      <c r="C22" s="16" t="str">
        <v>IT0004594930</v>
      </c>
      <c r="D22" s="18">
        <f>IF(ISNA(C22),NA(),_xll.qlBondMaturityDate(C22,Trigger))</f>
        <v>44075</v>
      </c>
      <c r="E22" s="19">
        <f>IF(ISNA(C22),NA(),_xll.qlBondNextCouponRate(C22,BondSettlementDate))</f>
        <v>0.04</v>
      </c>
      <c r="F22" s="30">
        <f>IF(ISNA(C22),NA(),_xll.qlBondRedemptionAmount(C22,Trigger))</f>
        <v>100</v>
      </c>
      <c r="G22" s="17" t="str">
        <f t="shared" si="5"/>
        <v>IT0004594930_Quote</v>
      </c>
      <c r="H22" s="27" t="str">
        <f t="shared" si="6"/>
        <v>IT0004594930_Quote</v>
      </c>
      <c r="I22" s="16" t="str">
        <f>IF(LEFT(B22,3)="BTP",_xll.qlBTP2(,B22,D22,E22,F22,,,,Trigger),_xll.qlCCTEU(,B22,D22,E22,F22,,,,Trigger))</f>
        <v>obj_00412#0003</v>
      </c>
      <c r="J22" s="31" t="str">
        <f>_xll.qlBondHelper(,H22,I22)</f>
        <v>obj_0049b#0003</v>
      </c>
      <c r="K22" s="26" t="str">
        <f>_xll.qlBTP2(,B22,D22,E22,F22,,,,Trigger)</f>
        <v>obj_00428#0003</v>
      </c>
      <c r="L22" s="26" t="b">
        <f>_xll.qlInstrumentSetPricingEngine(K22,BondPricingEngine)</f>
        <v>1</v>
      </c>
      <c r="M22" s="23">
        <f ca="1">_xll.qlBondCleanPrice(K22,AND(ISERROR(L22),ISERROR(N22)))</f>
        <v>113.5699964640884</v>
      </c>
      <c r="N22" s="27">
        <f ca="1">_xll.qlSimpleQuoteSetValue(G22,P22)</f>
        <v>0</v>
      </c>
      <c r="O22" s="29" t="e">
        <f>_xll.qlSimpleQuoteSetValue(#REF!,Q22)</f>
        <v>#VALUE!</v>
      </c>
      <c r="P22" s="27">
        <f t="shared" ca="1" si="0"/>
        <v>113.57</v>
      </c>
      <c r="Q22" s="23">
        <f t="shared" si="1"/>
        <v>0</v>
      </c>
      <c r="R22" s="24">
        <f t="shared" si="2"/>
        <v>0.17999999999999261</v>
      </c>
      <c r="S22" s="28" t="e">
        <f t="shared" si="7"/>
        <v>#VALUE!</v>
      </c>
      <c r="T22" s="23" t="e">
        <f t="shared" si="8"/>
        <v>#VALUE!</v>
      </c>
      <c r="U22" s="26" t="str">
        <f t="shared" si="3"/>
        <v>IT459493=TT</v>
      </c>
      <c r="V22" s="23">
        <v>113.48</v>
      </c>
      <c r="W22" s="23">
        <v>113.66</v>
      </c>
      <c r="X22" s="17" t="e">
        <f ca="1">_xll.MKV("EUR.PRICING.XLS_GOVIES."&amp;$C22,X$1)</f>
        <v>#NAME?</v>
      </c>
      <c r="Y22" s="17" t="e">
        <f ca="1">_xll.MKV("EUR.PRICING.XLS_GOVIES."&amp;$C22,Y$1)</f>
        <v>#NAME?</v>
      </c>
      <c r="Z22" s="25">
        <f ca="1">IF(ISNA(C22),NA(),_xll.qlBondYieldFromCleanPrice(C22,P22,YieldDayCounter,YieldCompounding,YieldFrequency))</f>
        <v>1.5748138724528266E-2</v>
      </c>
      <c r="AA22" s="19" t="b">
        <v>1</v>
      </c>
      <c r="AB22" s="26" t="b">
        <f t="shared" si="4"/>
        <v>1</v>
      </c>
      <c r="AC22" s="24">
        <f ca="1">IF(ISNA(C22),NA(),M22-_xll.qlQuoteValue(H22))</f>
        <v>-3.5359115884148196E-6</v>
      </c>
      <c r="AD22" s="11"/>
      <c r="AE22" s="1"/>
      <c r="AF22" s="33" t="e">
        <f>_xll.qlBondDescription(#REF!,Trigger)</f>
        <v>#VALUE!</v>
      </c>
      <c r="AG22" s="33" t="e">
        <f>"STRIP."&amp;#REF!</f>
        <v>#REF!</v>
      </c>
      <c r="AH22" s="32" t="e">
        <f>IF(ISNA($AG22),0,_xll.RtGet("DTSIMI2",$AG22,AH$1))</f>
        <v>#VALUE!</v>
      </c>
      <c r="AI22" s="32" t="e">
        <f>IF(ISNA($AG22),0,_xll.RtGet("DTSIMI2",$AG22,AI$1))</f>
        <v>#VALUE!</v>
      </c>
      <c r="AJ22" s="1" t="e">
        <f>IF(ISNA($AG22),0,VLOOKUP($D22,Contribution!$B$4:$B$102,2,FALSE))</f>
        <v>#REF!</v>
      </c>
      <c r="AK22" s="1" t="e">
        <f>IF(ISNA($AG22),0,VLOOKUP($D22,Contribution!$B$4:$B$102,3,FALSE))</f>
        <v>#REF!</v>
      </c>
    </row>
    <row r="23" spans="1:38" x14ac:dyDescent="0.2">
      <c r="A23" s="4"/>
      <c r="B23" s="22" t="str">
        <f>IF(ISNA(C23),NA(),_xll.qlBondDescription(C23,Trigger))</f>
        <v>BTP 2021-03-01 3.75%</v>
      </c>
      <c r="C23" s="16" t="str">
        <v>IT0004634132</v>
      </c>
      <c r="D23" s="18">
        <f>IF(ISNA(C23),NA(),_xll.qlBondMaturityDate(C23,Trigger))</f>
        <v>44256</v>
      </c>
      <c r="E23" s="19">
        <f>IF(ISNA(C23),NA(),_xll.qlBondNextCouponRate(C23,BondSettlementDate))</f>
        <v>3.7499999999999999E-2</v>
      </c>
      <c r="F23" s="30">
        <f>IF(ISNA(C23),NA(),_xll.qlBondRedemptionAmount(C23,Trigger))</f>
        <v>100</v>
      </c>
      <c r="G23" s="17" t="str">
        <f t="shared" si="5"/>
        <v>IT0004634132_Quote</v>
      </c>
      <c r="H23" s="27" t="str">
        <f t="shared" si="6"/>
        <v>IT0004634132_Quote</v>
      </c>
      <c r="I23" s="16" t="str">
        <f>IF(LEFT(B23,3)="BTP",_xll.qlBTP2(,B23,D23,E23,F23,,,,Trigger),_xll.qlCCTEU(,B23,D23,E23,F23,,,,Trigger))</f>
        <v>obj_0041c#0003</v>
      </c>
      <c r="J23" s="31" t="str">
        <f>_xll.qlBondHelper(,H23,I23)</f>
        <v>obj_00493#0003</v>
      </c>
      <c r="K23" s="26" t="str">
        <f>_xll.qlBTP2(,B23,D23,E23,F23,,,,Trigger)</f>
        <v>obj_0040f#0003</v>
      </c>
      <c r="L23" s="26" t="b">
        <f>_xll.qlInstrumentSetPricingEngine(K23,BondPricingEngine)</f>
        <v>1</v>
      </c>
      <c r="M23" s="23">
        <f ca="1">_xll.qlBondCleanPrice(K23,AND(ISERROR(L23),ISERROR(N23)))</f>
        <v>112.20999668508293</v>
      </c>
      <c r="N23" s="27">
        <f ca="1">_xll.qlSimpleQuoteSetValue(G23,P23)</f>
        <v>0</v>
      </c>
      <c r="O23" s="29" t="e">
        <f>_xll.qlSimpleQuoteSetValue(#REF!,Q23)</f>
        <v>#VALUE!</v>
      </c>
      <c r="P23" s="27">
        <f t="shared" ca="1" si="0"/>
        <v>112.21000000000001</v>
      </c>
      <c r="Q23" s="23">
        <f t="shared" si="1"/>
        <v>0</v>
      </c>
      <c r="R23" s="24">
        <f t="shared" si="2"/>
        <v>0.23999999999999488</v>
      </c>
      <c r="S23" s="28" t="e">
        <f t="shared" si="7"/>
        <v>#VALUE!</v>
      </c>
      <c r="T23" s="23" t="e">
        <f t="shared" si="8"/>
        <v>#VALUE!</v>
      </c>
      <c r="U23" s="26" t="str">
        <f t="shared" si="3"/>
        <v>IT463413=TT</v>
      </c>
      <c r="V23" s="23">
        <v>112.09</v>
      </c>
      <c r="W23" s="23">
        <v>112.33</v>
      </c>
      <c r="X23" s="17" t="e">
        <f ca="1">_xll.MKV("EUR.PRICING.XLS_GOVIES."&amp;$C23,X$1)</f>
        <v>#NAME?</v>
      </c>
      <c r="Y23" s="17" t="e">
        <f ca="1">_xll.MKV("EUR.PRICING.XLS_GOVIES."&amp;$C23,Y$1)</f>
        <v>#NAME?</v>
      </c>
      <c r="Z23" s="25">
        <f ca="1">IF(ISNA(C23),NA(),_xll.qlBondYieldFromCleanPrice(C23,P23,YieldDayCounter,YieldCompounding,YieldFrequency))</f>
        <v>1.7237181555633693E-2</v>
      </c>
      <c r="AA23" s="19" t="b">
        <v>1</v>
      </c>
      <c r="AB23" s="26" t="b">
        <f t="shared" si="4"/>
        <v>1</v>
      </c>
      <c r="AC23" s="24">
        <f ca="1">IF(ISNA(C23),NA(),M23-_xll.qlQuoteValue(H23))</f>
        <v>-3.3149170803881134E-6</v>
      </c>
      <c r="AD23" s="11"/>
      <c r="AE23" s="1"/>
      <c r="AF23" s="33" t="e">
        <f>_xll.qlBondDescription(#REF!,Trigger)</f>
        <v>#VALUE!</v>
      </c>
      <c r="AG23" s="33" t="e">
        <f>"STRIP."&amp;#REF!</f>
        <v>#REF!</v>
      </c>
      <c r="AH23" s="32" t="e">
        <f>IF(ISNA($AG23),0,_xll.RtGet("DTSIMI2",$AG23,AH$1))</f>
        <v>#VALUE!</v>
      </c>
      <c r="AI23" s="32" t="e">
        <f>IF(ISNA($AG23),0,_xll.RtGet("DTSIMI2",$AG23,AI$1))</f>
        <v>#VALUE!</v>
      </c>
      <c r="AJ23" s="1" t="e">
        <f>IF(ISNA($AG23),0,VLOOKUP($D23,Contribution!$B$4:$B$102,2,FALSE))</f>
        <v>#REF!</v>
      </c>
      <c r="AK23" s="1" t="e">
        <f>IF(ISNA($AG23),0,VLOOKUP($D23,Contribution!$B$4:$B$102,3,FALSE))</f>
        <v>#REF!</v>
      </c>
    </row>
    <row r="24" spans="1:38" x14ac:dyDescent="0.2">
      <c r="A24" s="4"/>
      <c r="B24" s="22" t="str">
        <f>IF(ISNA(C24),NA(),_xll.qlBondDescription(C24,Trigger))</f>
        <v>BTP 2021-05-01 3.75%</v>
      </c>
      <c r="C24" s="16" t="str">
        <v>IT0004966401</v>
      </c>
      <c r="D24" s="18">
        <f>IF(ISNA(C24),NA(),_xll.qlBondMaturityDate(C24,Trigger))</f>
        <v>44317</v>
      </c>
      <c r="E24" s="19">
        <f>IF(ISNA(C24),NA(),_xll.qlBondNextCouponRate(C24,BondSettlementDate))</f>
        <v>3.7499999999999999E-2</v>
      </c>
      <c r="F24" s="30">
        <f>IF(ISNA(C24),NA(),_xll.qlBondRedemptionAmount(C24,Trigger))</f>
        <v>100</v>
      </c>
      <c r="G24" s="17" t="str">
        <f t="shared" si="5"/>
        <v>IT0004966401_Quote</v>
      </c>
      <c r="H24" s="27" t="str">
        <f t="shared" si="6"/>
        <v>IT0004966401_Quote</v>
      </c>
      <c r="I24" s="16" t="str">
        <f>IF(LEFT(B24,3)="BTP",_xll.qlBTP2(,B24,D24,E24,F24,,,,Trigger),_xll.qlCCTEU(,B24,D24,E24,F24,,,,Trigger))</f>
        <v>obj_003ec#0003</v>
      </c>
      <c r="J24" s="31" t="str">
        <f>_xll.qlBondHelper(,H24,I24)</f>
        <v>obj_00492#0003</v>
      </c>
      <c r="K24" s="26" t="str">
        <f>_xll.qlBTP2(,B24,D24,E24,F24,,,,Trigger)</f>
        <v>obj_0042e#0003</v>
      </c>
      <c r="L24" s="26" t="b">
        <f>_xll.qlInstrumentSetPricingEngine(K24,BondPricingEngine)</f>
        <v>1</v>
      </c>
      <c r="M24" s="23">
        <f ca="1">_xll.qlBondCleanPrice(K24,AND(ISERROR(L24),ISERROR(N24)))</f>
        <v>111.86999739130758</v>
      </c>
      <c r="N24" s="27">
        <f ca="1">_xll.qlSimpleQuoteSetValue(G24,P24)</f>
        <v>0</v>
      </c>
      <c r="O24" s="29" t="e">
        <f>_xll.qlSimpleQuoteSetValue(#REF!,Q24)</f>
        <v>#VALUE!</v>
      </c>
      <c r="P24" s="27">
        <f t="shared" ca="1" si="0"/>
        <v>111.87</v>
      </c>
      <c r="Q24" s="23">
        <f t="shared" si="1"/>
        <v>0</v>
      </c>
      <c r="R24" s="24">
        <f t="shared" si="2"/>
        <v>0.23999999999999488</v>
      </c>
      <c r="S24" s="28" t="e">
        <f t="shared" si="7"/>
        <v>#VALUE!</v>
      </c>
      <c r="T24" s="23" t="e">
        <f t="shared" si="8"/>
        <v>#VALUE!</v>
      </c>
      <c r="U24" s="26" t="str">
        <f t="shared" si="3"/>
        <v>IT496640=TT</v>
      </c>
      <c r="V24" s="23">
        <v>111.75</v>
      </c>
      <c r="W24" s="23">
        <v>111.99</v>
      </c>
      <c r="X24" s="17" t="e">
        <f ca="1">_xll.MKV("EUR.PRICING.XLS_GOVIES."&amp;$C24,X$1)</f>
        <v>#NAME?</v>
      </c>
      <c r="Y24" s="17" t="e">
        <f ca="1">_xll.MKV("EUR.PRICING.XLS_GOVIES."&amp;$C24,Y$1)</f>
        <v>#NAME?</v>
      </c>
      <c r="Z24" s="25">
        <f ca="1">IF(ISNA(C24),NA(),_xll.qlBondYieldFromCleanPrice(C24,P24,YieldDayCounter,YieldCompounding,YieldFrequency))</f>
        <v>1.8214912306144835E-2</v>
      </c>
      <c r="AA24" s="19" t="b">
        <v>1</v>
      </c>
      <c r="AB24" s="26" t="b">
        <f t="shared" si="4"/>
        <v>1</v>
      </c>
      <c r="AC24" s="24">
        <f ca="1">IF(ISNA(C24),NA(),M24-_xll.qlQuoteValue(H24))</f>
        <v>-2.6086924265200651E-6</v>
      </c>
      <c r="AD24" s="11"/>
      <c r="AE24" s="1"/>
      <c r="AF24" s="33" t="e">
        <f>_xll.qlBondDescription(#REF!,Trigger)</f>
        <v>#VALUE!</v>
      </c>
      <c r="AG24" s="33" t="e">
        <f>"STRIP."&amp;#REF!</f>
        <v>#REF!</v>
      </c>
      <c r="AH24" s="32" t="e">
        <f>IF(ISNA($AG24),0,_xll.RtGet("DTSIMI2",$AG24,AH$1))</f>
        <v>#VALUE!</v>
      </c>
      <c r="AI24" s="32" t="e">
        <f>IF(ISNA($AG24),0,_xll.RtGet("DTSIMI2",$AG24,AI$1))</f>
        <v>#VALUE!</v>
      </c>
      <c r="AJ24" s="1" t="e">
        <f>IF(ISNA($AG24),0,VLOOKUP($D24,Contribution!$B$4:$B$102,2,FALSE))</f>
        <v>#REF!</v>
      </c>
      <c r="AK24" s="1" t="e">
        <f>IF(ISNA($AG24),0,VLOOKUP($D24,Contribution!$B$4:$B$102,3,FALSE))</f>
        <v>#REF!</v>
      </c>
    </row>
    <row r="25" spans="1:38" x14ac:dyDescent="0.2">
      <c r="A25" s="4"/>
      <c r="B25" s="22" t="str">
        <f>IF(ISNA(C25),NA(),_xll.qlBondDescription(C25,Trigger))</f>
        <v>BTP 2021-08-01 3.75%</v>
      </c>
      <c r="C25" s="16" t="str">
        <v>IT0004009673</v>
      </c>
      <c r="D25" s="18">
        <f>IF(ISNA(C25),NA(),_xll.qlBondMaturityDate(C25,Trigger))</f>
        <v>44409</v>
      </c>
      <c r="E25" s="19">
        <f>IF(ISNA(C25),NA(),_xll.qlBondNextCouponRate(C25,BondSettlementDate))</f>
        <v>3.7499999999999999E-2</v>
      </c>
      <c r="F25" s="30">
        <f>IF(ISNA(C25),NA(),_xll.qlBondRedemptionAmount(C25,Trigger))</f>
        <v>100</v>
      </c>
      <c r="G25" s="17" t="str">
        <f t="shared" si="5"/>
        <v>IT0004009673_Quote</v>
      </c>
      <c r="H25" s="27" t="str">
        <f t="shared" si="6"/>
        <v>IT0004009673_Quote</v>
      </c>
      <c r="I25" s="16" t="str">
        <f>IF(LEFT(B25,3)="BTP",_xll.qlBTP2(,B25,D25,E25,F25,,,,Trigger),_xll.qlCCTEU(,B25,D25,E25,F25,,,,Trigger))</f>
        <v>obj_00410#0003</v>
      </c>
      <c r="J25" s="31" t="str">
        <f>_xll.qlBondHelper(,H25,I25)</f>
        <v>obj_0048d#0003</v>
      </c>
      <c r="K25" s="26" t="str">
        <f>_xll.qlBTP2(,B25,D25,E25,F25,,,,Trigger)</f>
        <v>obj_00431#0003</v>
      </c>
      <c r="L25" s="26" t="b">
        <f>_xll.qlInstrumentSetPricingEngine(K25,BondPricingEngine)</f>
        <v>1</v>
      </c>
      <c r="M25" s="23">
        <f ca="1">_xll.qlBondCleanPrice(K25,AND(ISERROR(L25),ISERROR(N25)))</f>
        <v>111.93999739130723</v>
      </c>
      <c r="N25" s="27">
        <f ca="1">_xll.qlSimpleQuoteSetValue(G25,P25)</f>
        <v>0</v>
      </c>
      <c r="O25" s="29" t="e">
        <f>_xll.qlSimpleQuoteSetValue(#REF!,Q25)</f>
        <v>#VALUE!</v>
      </c>
      <c r="P25" s="27">
        <f t="shared" ca="1" si="0"/>
        <v>111.94</v>
      </c>
      <c r="Q25" s="23">
        <f t="shared" si="1"/>
        <v>0</v>
      </c>
      <c r="R25" s="24">
        <f t="shared" si="2"/>
        <v>0.25999999999999091</v>
      </c>
      <c r="S25" s="28" t="e">
        <f t="shared" si="7"/>
        <v>#VALUE!</v>
      </c>
      <c r="T25" s="23" t="e">
        <f t="shared" si="8"/>
        <v>#VALUE!</v>
      </c>
      <c r="U25" s="26" t="str">
        <f t="shared" si="3"/>
        <v>IT400967=TT</v>
      </c>
      <c r="V25" s="23">
        <v>111.81</v>
      </c>
      <c r="W25" s="23">
        <v>112.07</v>
      </c>
      <c r="X25" s="17" t="e">
        <f ca="1">_xll.MKV("EUR.PRICING.XLS_GOVIES."&amp;$C25,X$1)</f>
        <v>#NAME?</v>
      </c>
      <c r="Y25" s="17" t="e">
        <f ca="1">_xll.MKV("EUR.PRICING.XLS_GOVIES."&amp;$C25,Y$1)</f>
        <v>#NAME?</v>
      </c>
      <c r="Z25" s="25">
        <f ca="1">IF(ISNA(C25),NA(),_xll.qlBondYieldFromCleanPrice(C25,P25,YieldDayCounter,YieldCompounding,YieldFrequency))</f>
        <v>1.8752027875557551E-2</v>
      </c>
      <c r="AA25" s="19" t="b">
        <v>1</v>
      </c>
      <c r="AB25" s="26" t="b">
        <f t="shared" si="4"/>
        <v>1</v>
      </c>
      <c r="AC25" s="24">
        <f ca="1">IF(ISNA(C25),NA(),M25-_xll.qlQuoteValue(H25))</f>
        <v>-2.6086927675805782E-6</v>
      </c>
      <c r="AD25" s="11"/>
      <c r="AE25" s="1"/>
      <c r="AF25" s="33" t="e">
        <f>_xll.qlBondDescription(#REF!,Trigger)</f>
        <v>#VALUE!</v>
      </c>
      <c r="AG25" s="33" t="e">
        <f>"STRIP."&amp;#REF!</f>
        <v>#REF!</v>
      </c>
      <c r="AH25" s="32" t="e">
        <f>IF(ISNA($AG25),0,_xll.RtGet("DTSIMI2",$AG25,AH$1))</f>
        <v>#VALUE!</v>
      </c>
      <c r="AI25" s="32" t="e">
        <f>IF(ISNA($AG25),0,_xll.RtGet("DTSIMI2",$AG25,AI$1))</f>
        <v>#VALUE!</v>
      </c>
      <c r="AJ25" s="1" t="e">
        <f>IF(ISNA($AG25),0,VLOOKUP($D25,Contribution!$B$4:$B$102,2,FALSE))</f>
        <v>#REF!</v>
      </c>
      <c r="AK25" s="1" t="e">
        <f>IF(ISNA($AG25),0,VLOOKUP($D25,Contribution!$B$4:$B$102,3,FALSE))</f>
        <v>#REF!</v>
      </c>
    </row>
    <row r="26" spans="1:38" x14ac:dyDescent="0.2">
      <c r="A26" s="4"/>
      <c r="B26" s="22" t="str">
        <f>IF(ISNA(C26),NA(),_xll.qlBondDescription(C26,Trigger))</f>
        <v>BTP 2021-09-01 4.75%</v>
      </c>
      <c r="C26" s="16" t="str">
        <v>IT0004695075</v>
      </c>
      <c r="D26" s="18">
        <f>IF(ISNA(C26),NA(),_xll.qlBondMaturityDate(C26,Trigger))</f>
        <v>44440</v>
      </c>
      <c r="E26" s="19">
        <f>IF(ISNA(C26),NA(),_xll.qlBondNextCouponRate(C26,BondSettlementDate))</f>
        <v>4.7500000000000001E-2</v>
      </c>
      <c r="F26" s="30">
        <f>IF(ISNA(C26),NA(),_xll.qlBondRedemptionAmount(C26,Trigger))</f>
        <v>100</v>
      </c>
      <c r="G26" s="17" t="str">
        <f t="shared" si="5"/>
        <v>IT0004695075_Quote</v>
      </c>
      <c r="H26" s="27" t="str">
        <f t="shared" si="6"/>
        <v>IT0004695075_Quote</v>
      </c>
      <c r="I26" s="16" t="str">
        <f>IF(LEFT(B26,3)="BTP",_xll.qlBTP2(,B26,D26,E26,F26,,,,Trigger),_xll.qlCCTEU(,B26,D26,E26,F26,,,,Trigger))</f>
        <v>obj_003ef#0003</v>
      </c>
      <c r="J26" s="31" t="str">
        <f>_xll.qlBondHelper(,H26,I26)</f>
        <v>obj_00484#0003</v>
      </c>
      <c r="K26" s="26" t="str">
        <f>_xll.qlBTP2(,B26,D26,E26,F26,,,,Trigger)</f>
        <v>obj_00437#0003</v>
      </c>
      <c r="L26" s="26" t="b">
        <f>_xll.qlInstrumentSetPricingEngine(K26,BondPricingEngine)</f>
        <v>1</v>
      </c>
      <c r="M26" s="23">
        <f ca="1">_xll.qlBondCleanPrice(K26,AND(ISERROR(L26),ISERROR(N26)))</f>
        <v>118.34999580110498</v>
      </c>
      <c r="N26" s="27">
        <f ca="1">_xll.qlSimpleQuoteSetValue(G26,P26)</f>
        <v>0</v>
      </c>
      <c r="O26" s="29" t="e">
        <f>_xll.qlSimpleQuoteSetValue(#REF!,Q26)</f>
        <v>#VALUE!</v>
      </c>
      <c r="P26" s="27">
        <f t="shared" ca="1" si="0"/>
        <v>118.35</v>
      </c>
      <c r="Q26" s="23">
        <f t="shared" si="1"/>
        <v>0</v>
      </c>
      <c r="R26" s="24">
        <f t="shared" si="2"/>
        <v>0.23999999999999488</v>
      </c>
      <c r="S26" s="28" t="e">
        <f t="shared" si="7"/>
        <v>#VALUE!</v>
      </c>
      <c r="T26" s="23" t="e">
        <f t="shared" si="8"/>
        <v>#VALUE!</v>
      </c>
      <c r="U26" s="26" t="str">
        <f t="shared" si="3"/>
        <v>IT469507=TT</v>
      </c>
      <c r="V26" s="23">
        <v>118.23</v>
      </c>
      <c r="W26" s="23">
        <v>118.47</v>
      </c>
      <c r="X26" s="17" t="e">
        <f ca="1">_xll.MKV("EUR.PRICING.XLS_GOVIES."&amp;$C26,X$1)</f>
        <v>#NAME?</v>
      </c>
      <c r="Y26" s="17" t="e">
        <f ca="1">_xll.MKV("EUR.PRICING.XLS_GOVIES."&amp;$C26,Y$1)</f>
        <v>#NAME?</v>
      </c>
      <c r="Z26" s="25">
        <f ca="1">IF(ISNA(C26),NA(),_xll.qlBondYieldFromCleanPrice(C26,P26,YieldDayCounter,YieldCompounding,YieldFrequency))</f>
        <v>1.8959075519070032E-2</v>
      </c>
      <c r="AA26" s="19" t="b">
        <v>1</v>
      </c>
      <c r="AB26" s="26" t="b">
        <f t="shared" si="4"/>
        <v>1</v>
      </c>
      <c r="AC26" s="24">
        <f ca="1">IF(ISNA(C26),NA(),M26-_xll.qlQuoteValue(H26))</f>
        <v>-4.1988950130189551E-6</v>
      </c>
      <c r="AD26" s="11"/>
      <c r="AE26" s="1"/>
      <c r="AF26" s="33" t="e">
        <f>_xll.qlBondDescription(#REF!,Trigger)</f>
        <v>#VALUE!</v>
      </c>
      <c r="AG26" s="33" t="e">
        <f>"STRIP."&amp;#REF!</f>
        <v>#REF!</v>
      </c>
      <c r="AH26" s="32" t="e">
        <f>IF(ISNA($AG26),0,_xll.RtGet("DTSIMI2",$AG26,AH$1))</f>
        <v>#VALUE!</v>
      </c>
      <c r="AI26" s="32" t="e">
        <f>IF(ISNA($AG26),0,_xll.RtGet("DTSIMI2",$AG26,AI$1))</f>
        <v>#VALUE!</v>
      </c>
      <c r="AJ26" s="1" t="e">
        <f>IF(ISNA($AG26),0,VLOOKUP($D26,Contribution!$B$4:$B$102,2,FALSE))</f>
        <v>#REF!</v>
      </c>
      <c r="AK26" s="1" t="e">
        <f>IF(ISNA($AG26),0,VLOOKUP($D26,Contribution!$B$4:$B$102,3,FALSE))</f>
        <v>#REF!</v>
      </c>
    </row>
    <row r="27" spans="1:38" x14ac:dyDescent="0.2">
      <c r="A27" s="4"/>
      <c r="B27" s="22" t="str">
        <f>IF(ISNA(C27),NA(),_xll.qlBondDescription(C27,Trigger))</f>
        <v>BTP 2022-03-01 5%</v>
      </c>
      <c r="C27" s="16" t="str">
        <v>IT0004759673</v>
      </c>
      <c r="D27" s="18">
        <f>IF(ISNA(C27),NA(),_xll.qlBondMaturityDate(C27,Trigger))</f>
        <v>44621</v>
      </c>
      <c r="E27" s="19">
        <f>IF(ISNA(C27),NA(),_xll.qlBondNextCouponRate(C27,BondSettlementDate))</f>
        <v>0.05</v>
      </c>
      <c r="F27" s="30">
        <f>IF(ISNA(C27),NA(),_xll.qlBondRedemptionAmount(C27,Trigger))</f>
        <v>100</v>
      </c>
      <c r="G27" s="17" t="str">
        <f t="shared" si="5"/>
        <v>IT0004759673_Quote</v>
      </c>
      <c r="H27" s="27" t="str">
        <f t="shared" si="6"/>
        <v>IT0004759673_Quote</v>
      </c>
      <c r="I27" s="16" t="str">
        <f>IF(LEFT(B27,3)="BTP",_xll.qlBTP2(,B27,D27,E27,F27,,,,Trigger),_xll.qlCCTEU(,B27,D27,E27,F27,,,,Trigger))</f>
        <v>obj_003eb#0003</v>
      </c>
      <c r="J27" s="31" t="str">
        <f>_xll.qlBondHelper(,H27,I27)</f>
        <v>obj_00486#0003</v>
      </c>
      <c r="K27" s="26" t="str">
        <f>_xll.qlBTP2(,B27,D27,E27,F27,,,,Trigger)</f>
        <v>obj_00407#0003</v>
      </c>
      <c r="L27" s="26" t="b">
        <f>_xll.qlInstrumentSetPricingEngine(K27,BondPricingEngine)</f>
        <v>1</v>
      </c>
      <c r="M27" s="23">
        <f ca="1">_xll.qlBondCleanPrice(K27,AND(ISERROR(L27),ISERROR(N27)))</f>
        <v>120.24499558011048</v>
      </c>
      <c r="N27" s="27">
        <f ca="1">_xll.qlSimpleQuoteSetValue(G27,P27)</f>
        <v>0</v>
      </c>
      <c r="O27" s="29" t="e">
        <f>_xll.qlSimpleQuoteSetValue(#REF!,Q27)</f>
        <v>#VALUE!</v>
      </c>
      <c r="P27" s="27">
        <f t="shared" ca="1" si="0"/>
        <v>120.245</v>
      </c>
      <c r="Q27" s="23">
        <f t="shared" si="1"/>
        <v>0</v>
      </c>
      <c r="R27" s="24">
        <f t="shared" si="2"/>
        <v>0.23000000000000398</v>
      </c>
      <c r="S27" s="28" t="e">
        <f t="shared" si="7"/>
        <v>#VALUE!</v>
      </c>
      <c r="T27" s="23" t="e">
        <f t="shared" si="8"/>
        <v>#VALUE!</v>
      </c>
      <c r="U27" s="26" t="str">
        <f t="shared" si="3"/>
        <v>IT475967=TT</v>
      </c>
      <c r="V27" s="23">
        <v>120.13</v>
      </c>
      <c r="W27" s="23">
        <v>120.36</v>
      </c>
      <c r="X27" s="17" t="e">
        <f ca="1">_xll.MKV("EUR.PRICING.XLS_GOVIES."&amp;$C27,X$1)</f>
        <v>#NAME?</v>
      </c>
      <c r="Y27" s="17" t="e">
        <f ca="1">_xll.MKV("EUR.PRICING.XLS_GOVIES."&amp;$C27,Y$1)</f>
        <v>#NAME?</v>
      </c>
      <c r="Z27" s="25">
        <f ca="1">IF(ISNA(C27),NA(),_xll.qlBondYieldFromCleanPrice(C27,P27,YieldDayCounter,YieldCompounding,YieldFrequency))</f>
        <v>2.0367514536902314E-2</v>
      </c>
      <c r="AA27" s="19" t="b">
        <v>1</v>
      </c>
      <c r="AB27" s="26" t="b">
        <f t="shared" si="4"/>
        <v>1</v>
      </c>
      <c r="AC27" s="24">
        <f ca="1">IF(ISNA(C27),NA(),M27-_xll.qlQuoteValue(H27))</f>
        <v>-4.4198895210456612E-6</v>
      </c>
      <c r="AD27" s="11"/>
      <c r="AE27" s="1"/>
      <c r="AF27" s="33" t="e">
        <f>_xll.qlBondDescription(#REF!,Trigger)</f>
        <v>#VALUE!</v>
      </c>
      <c r="AG27" s="33" t="e">
        <f>"STRIP."&amp;#REF!</f>
        <v>#REF!</v>
      </c>
      <c r="AH27" s="32" t="e">
        <f>IF(ISNA($AG27),0,_xll.RtGet("DTSIMI2",$AG27,AH$1))</f>
        <v>#VALUE!</v>
      </c>
      <c r="AI27" s="32" t="e">
        <f>IF(ISNA($AG27),0,_xll.RtGet("DTSIMI2",$AG27,AI$1))</f>
        <v>#VALUE!</v>
      </c>
      <c r="AJ27" s="1" t="e">
        <f>IF(ISNA($AG27),0,VLOOKUP($D27,Contribution!$B$4:$B$102,2,FALSE))</f>
        <v>#REF!</v>
      </c>
      <c r="AK27" s="1" t="e">
        <f>IF(ISNA($AG27),0,VLOOKUP($D27,Contribution!$B$4:$B$102,3,FALSE))</f>
        <v>#REF!</v>
      </c>
    </row>
    <row r="28" spans="1:38" x14ac:dyDescent="0.2">
      <c r="A28" s="4"/>
      <c r="B28" s="22" t="str">
        <f>IF(ISNA(C28),NA(),_xll.qlBondDescription(C28,Trigger))</f>
        <v>BTP 2022-09-01 5.5%</v>
      </c>
      <c r="C28" s="16" t="str">
        <v>IT0004801541</v>
      </c>
      <c r="D28" s="18">
        <f>IF(ISNA(C28),NA(),_xll.qlBondMaturityDate(C28,Trigger))</f>
        <v>44805</v>
      </c>
      <c r="E28" s="19">
        <f>IF(ISNA(C28),NA(),_xll.qlBondNextCouponRate(C28,BondSettlementDate))</f>
        <v>5.5E-2</v>
      </c>
      <c r="F28" s="30">
        <f>IF(ISNA(C28),NA(),_xll.qlBondRedemptionAmount(C28,Trigger))</f>
        <v>100</v>
      </c>
      <c r="G28" s="17" t="str">
        <f t="shared" si="5"/>
        <v>IT0004801541_Quote</v>
      </c>
      <c r="H28" s="27" t="str">
        <f t="shared" si="6"/>
        <v>IT0004801541_Quote</v>
      </c>
      <c r="I28" s="16" t="str">
        <f>IF(LEFT(B28,3)="BTP",_xll.qlBTP2(,B28,D28,E28,F28,,,,Trigger),_xll.qlCCTEU(,B28,D28,E28,F28,,,,Trigger))</f>
        <v>obj_0042c#0003</v>
      </c>
      <c r="J28" s="31" t="str">
        <f>_xll.qlBondHelper(,H28,I28)</f>
        <v>obj_0048c#0003</v>
      </c>
      <c r="K28" s="26" t="str">
        <f>_xll.qlBTP2(,B28,D28,E28,F28,,,,Trigger)</f>
        <v>obj_00422#0003</v>
      </c>
      <c r="L28" s="26" t="b">
        <f>_xll.qlInstrumentSetPricingEngine(K28,BondPricingEngine)</f>
        <v>1</v>
      </c>
      <c r="M28" s="23">
        <f ca="1">_xll.qlBondCleanPrice(K28,AND(ISERROR(L28),ISERROR(N28)))</f>
        <v>124.00499513812157</v>
      </c>
      <c r="N28" s="27">
        <f ca="1">_xll.qlSimpleQuoteSetValue(G28,P28)</f>
        <v>0</v>
      </c>
      <c r="O28" s="29" t="e">
        <f>_xll.qlSimpleQuoteSetValue(#REF!,Q28)</f>
        <v>#VALUE!</v>
      </c>
      <c r="P28" s="27">
        <f t="shared" ca="1" si="0"/>
        <v>124.005</v>
      </c>
      <c r="Q28" s="23">
        <f t="shared" si="1"/>
        <v>0</v>
      </c>
      <c r="R28" s="24">
        <f t="shared" si="2"/>
        <v>0.25</v>
      </c>
      <c r="S28" s="28" t="e">
        <f t="shared" si="7"/>
        <v>#VALUE!</v>
      </c>
      <c r="T28" s="23" t="e">
        <f t="shared" si="8"/>
        <v>#VALUE!</v>
      </c>
      <c r="U28" s="26" t="str">
        <f t="shared" si="3"/>
        <v>IT480154=TT</v>
      </c>
      <c r="V28" s="23">
        <v>123.88</v>
      </c>
      <c r="W28" s="23">
        <v>124.13</v>
      </c>
      <c r="X28" s="17" t="e">
        <f ca="1">_xll.MKV("EUR.PRICING.XLS_GOVIES."&amp;$C28,X$1)</f>
        <v>#NAME?</v>
      </c>
      <c r="Y28" s="17" t="e">
        <f ca="1">_xll.MKV("EUR.PRICING.XLS_GOVIES."&amp;$C28,Y$1)</f>
        <v>#NAME?</v>
      </c>
      <c r="Z28" s="25">
        <f ca="1">IF(ISNA(C28),NA(),_xll.qlBondYieldFromCleanPrice(C28,P28,YieldDayCounter,YieldCompounding,YieldFrequency))</f>
        <v>2.1754210836812862E-2</v>
      </c>
      <c r="AA28" s="19" t="b">
        <v>1</v>
      </c>
      <c r="AB28" s="26" t="b">
        <f t="shared" si="4"/>
        <v>1</v>
      </c>
      <c r="AC28" s="24">
        <f ca="1">IF(ISNA(C28),NA(),M28-_xll.qlQuoteValue(H28))</f>
        <v>-4.8618784234122359E-6</v>
      </c>
      <c r="AD28" s="11"/>
      <c r="AE28" s="1"/>
      <c r="AF28" s="33" t="e">
        <f>_xll.qlBondDescription(#REF!,Trigger)</f>
        <v>#VALUE!</v>
      </c>
      <c r="AG28" s="33" t="e">
        <f>"STRIP."&amp;#REF!</f>
        <v>#REF!</v>
      </c>
      <c r="AH28" s="32" t="e">
        <f>IF(ISNA($AG28),0,_xll.RtGet("DTSIMI2",$AG28,AH$1))</f>
        <v>#VALUE!</v>
      </c>
      <c r="AI28" s="32" t="e">
        <f>IF(ISNA($AG28),0,_xll.RtGet("DTSIMI2",$AG28,AI$1))</f>
        <v>#VALUE!</v>
      </c>
      <c r="AJ28" s="1" t="e">
        <f>IF(ISNA($AG28),0,VLOOKUP($D28,Contribution!$B$4:$B$102,2,FALSE))</f>
        <v>#REF!</v>
      </c>
      <c r="AK28" s="1" t="e">
        <f>IF(ISNA($AG28),0,VLOOKUP($D28,Contribution!$B$4:$B$102,3,FALSE))</f>
        <v>#REF!</v>
      </c>
      <c r="AL28" s="105">
        <f>_xll.qlYieldTSDiscount(BtpCurve,BondSettlementDate,,Trigger)</f>
        <v>1</v>
      </c>
    </row>
    <row r="29" spans="1:38" x14ac:dyDescent="0.2">
      <c r="A29" s="4"/>
      <c r="B29" s="22" t="str">
        <f>IF(ISNA(C29),NA(),_xll.qlBondDescription(C29,Trigger))</f>
        <v>BTP 2022-11-01 5.5%</v>
      </c>
      <c r="C29" s="16" t="str">
        <v>IT0004848831</v>
      </c>
      <c r="D29" s="18">
        <f>IF(ISNA(C29),NA(),_xll.qlBondMaturityDate(C29,Trigger))</f>
        <v>44866</v>
      </c>
      <c r="E29" s="19">
        <f>IF(ISNA(C29),NA(),_xll.qlBondNextCouponRate(C29,BondSettlementDate))</f>
        <v>5.5E-2</v>
      </c>
      <c r="F29" s="30">
        <f>IF(ISNA(C29),NA(),_xll.qlBondRedemptionAmount(C29,Trigger))</f>
        <v>100</v>
      </c>
      <c r="G29" s="17" t="str">
        <f t="shared" si="5"/>
        <v>IT0004848831_Quote</v>
      </c>
      <c r="H29" s="27" t="str">
        <f t="shared" si="6"/>
        <v>IT0004848831_Quote</v>
      </c>
      <c r="I29" s="16" t="str">
        <f>IF(LEFT(B29,3)="BTP",_xll.qlBTP2(,B29,D29,E29,F29,,,,Trigger),_xll.qlCCTEU(,B29,D29,E29,F29,,,,Trigger))</f>
        <v>obj_003ed#0003</v>
      </c>
      <c r="J29" s="31" t="str">
        <f>_xll.qlBondHelper(,H29,I29)</f>
        <v>obj_0049c#0003</v>
      </c>
      <c r="K29" s="26" t="str">
        <f>_xll.qlBTP2(,B29,D29,E29,F29,,,,Trigger)</f>
        <v>obj_00416#0003</v>
      </c>
      <c r="L29" s="26" t="b">
        <f>_xll.qlInstrumentSetPricingEngine(K29,BondPricingEngine)</f>
        <v>1</v>
      </c>
      <c r="M29" s="23">
        <f ca="1">_xll.qlBondCleanPrice(K29,AND(ISERROR(L29),ISERROR(N29)))</f>
        <v>123.94000217397087</v>
      </c>
      <c r="N29" s="27">
        <f ca="1">_xll.qlSimpleQuoteSetValue(G29,P29)</f>
        <v>0</v>
      </c>
      <c r="O29" s="29" t="e">
        <f>_xll.qlSimpleQuoteSetValue(#REF!,Q29)</f>
        <v>#VALUE!</v>
      </c>
      <c r="P29" s="27">
        <f t="shared" ca="1" si="0"/>
        <v>123.94</v>
      </c>
      <c r="Q29" s="23">
        <f t="shared" si="1"/>
        <v>0</v>
      </c>
      <c r="R29" s="24">
        <f t="shared" si="2"/>
        <v>0.21999999999999886</v>
      </c>
      <c r="S29" s="28" t="e">
        <f t="shared" si="7"/>
        <v>#VALUE!</v>
      </c>
      <c r="T29" s="23" t="e">
        <f t="shared" si="8"/>
        <v>#VALUE!</v>
      </c>
      <c r="U29" s="26" t="str">
        <f t="shared" si="3"/>
        <v>IT484883=TT</v>
      </c>
      <c r="V29" s="23">
        <v>123.83</v>
      </c>
      <c r="W29" s="23">
        <v>124.05</v>
      </c>
      <c r="X29" s="17" t="e">
        <f ca="1">_xll.MKV("EUR.PRICING.XLS_GOVIES."&amp;$C29,X$1)</f>
        <v>#NAME?</v>
      </c>
      <c r="Y29" s="17" t="e">
        <f ca="1">_xll.MKV("EUR.PRICING.XLS_GOVIES."&amp;$C29,Y$1)</f>
        <v>#NAME?</v>
      </c>
      <c r="Z29" s="25">
        <f ca="1">IF(ISNA(C29),NA(),_xll.qlBondYieldFromCleanPrice(C29,P29,YieldDayCounter,YieldCompounding,YieldFrequency))</f>
        <v>2.2404052145406608E-2</v>
      </c>
      <c r="AA29" s="19" t="b">
        <v>1</v>
      </c>
      <c r="AB29" s="26" t="b">
        <f t="shared" si="4"/>
        <v>1</v>
      </c>
      <c r="AC29" s="24">
        <f ca="1">IF(ISNA(C29),NA(),M29-_xll.qlQuoteValue(H29))</f>
        <v>2.1739708699897164E-6</v>
      </c>
      <c r="AD29" s="11"/>
      <c r="AE29" s="1"/>
      <c r="AF29" s="33" t="e">
        <f>_xll.qlBondDescription(#REF!,Trigger)</f>
        <v>#VALUE!</v>
      </c>
      <c r="AG29" s="33" t="e">
        <f>"STRIP."&amp;#REF!</f>
        <v>#REF!</v>
      </c>
      <c r="AH29" s="32" t="e">
        <f>IF(ISNA($AG29),0,_xll.RtGet("DTSIMI2",$AG29,AH$1))</f>
        <v>#VALUE!</v>
      </c>
      <c r="AI29" s="32" t="e">
        <f>IF(ISNA($AG29),0,_xll.RtGet("DTSIMI2",$AG29,AI$1))</f>
        <v>#VALUE!</v>
      </c>
      <c r="AJ29" s="1" t="e">
        <f>IF(ISNA($AG29),0,VLOOKUP($D29,Contribution!$B$4:$B$102,2,FALSE))</f>
        <v>#REF!</v>
      </c>
      <c r="AK29" s="1" t="e">
        <f>IF(ISNA($AG29),0,VLOOKUP($D29,Contribution!$B$4:$B$102,3,FALSE))</f>
        <v>#REF!</v>
      </c>
      <c r="AL29" s="106" t="str">
        <f>_xll.ohRangeRetrieveError(AL28)</f>
        <v/>
      </c>
    </row>
    <row r="30" spans="1:38" x14ac:dyDescent="0.2">
      <c r="A30" s="4"/>
      <c r="B30" s="22" t="str">
        <f>IF(ISNA(C30),NA(),_xll.qlBondDescription(C30,Trigger))</f>
        <v>BTP 2023-05-01 4.5%</v>
      </c>
      <c r="C30" s="16" t="str">
        <v>IT0004898034</v>
      </c>
      <c r="D30" s="18">
        <f>IF(ISNA(C30),NA(),_xll.qlBondMaturityDate(C30,Trigger))</f>
        <v>45047</v>
      </c>
      <c r="E30" s="19">
        <f>IF(ISNA(C30),NA(),_xll.qlBondNextCouponRate(C30,BondSettlementDate))</f>
        <v>4.4999999999999998E-2</v>
      </c>
      <c r="F30" s="30">
        <f>IF(ISNA(C30),NA(),_xll.qlBondRedemptionAmount(C30,Trigger))</f>
        <v>100</v>
      </c>
      <c r="G30" s="17" t="str">
        <f t="shared" si="5"/>
        <v>IT0004898034_Quote</v>
      </c>
      <c r="H30" s="27" t="str">
        <f t="shared" si="6"/>
        <v>IT0004898034_Quote</v>
      </c>
      <c r="I30" s="16" t="str">
        <f>IF(LEFT(B30,3)="BTP",_xll.qlBTP2(,B30,D30,E30,F30,,,,Trigger),_xll.qlCCTEU(,B30,D30,E30,F30,,,,Trigger))</f>
        <v>obj_00434#0003</v>
      </c>
      <c r="J30" s="31" t="str">
        <f>_xll.qlBondHelper(,H30,I30)</f>
        <v>obj_00489#0003</v>
      </c>
      <c r="K30" s="26" t="str">
        <f>_xll.qlBTP2(,B30,D30,E30,F30,,,,Trigger)</f>
        <v>obj_00415#0003</v>
      </c>
      <c r="L30" s="26" t="b">
        <f>_xll.qlInstrumentSetPricingEngine(K30,BondPricingEngine)</f>
        <v>1</v>
      </c>
      <c r="M30" s="23">
        <f ca="1">_xll.qlBondCleanPrice(K30,AND(ISERROR(L30),ISERROR(N30)))</f>
        <v>116.90500086959577</v>
      </c>
      <c r="N30" s="27">
        <f ca="1">_xll.qlSimpleQuoteSetValue(G30,P30)</f>
        <v>0</v>
      </c>
      <c r="O30" s="29" t="e">
        <f>_xll.qlSimpleQuoteSetValue(#REF!,Q30)</f>
        <v>#VALUE!</v>
      </c>
      <c r="P30" s="27">
        <f t="shared" ca="1" si="0"/>
        <v>116.905</v>
      </c>
      <c r="Q30" s="23">
        <f t="shared" si="1"/>
        <v>0</v>
      </c>
      <c r="R30" s="24">
        <f t="shared" si="2"/>
        <v>0.21000000000000796</v>
      </c>
      <c r="S30" s="28" t="e">
        <f t="shared" si="7"/>
        <v>#VALUE!</v>
      </c>
      <c r="T30" s="23" t="e">
        <f t="shared" si="8"/>
        <v>#VALUE!</v>
      </c>
      <c r="U30" s="26" t="str">
        <f t="shared" si="3"/>
        <v>IT489803=TT</v>
      </c>
      <c r="V30" s="23">
        <v>116.8</v>
      </c>
      <c r="W30" s="23">
        <v>117.01</v>
      </c>
      <c r="X30" s="17" t="e">
        <f ca="1">_xll.MKV("EUR.PRICING.XLS_GOVIES."&amp;$C30,X$1)</f>
        <v>#NAME?</v>
      </c>
      <c r="Y30" s="17" t="e">
        <f ca="1">_xll.MKV("EUR.PRICING.XLS_GOVIES."&amp;$C30,Y$1)</f>
        <v>#NAME?</v>
      </c>
      <c r="Z30" s="25">
        <f ca="1">IF(ISNA(C30),NA(),_xll.qlBondYieldFromCleanPrice(C30,P30,YieldDayCounter,YieldCompounding,YieldFrequency))</f>
        <v>2.3184091258421545E-2</v>
      </c>
      <c r="AA30" s="19" t="b">
        <v>1</v>
      </c>
      <c r="AB30" s="26" t="b">
        <f t="shared" si="4"/>
        <v>1</v>
      </c>
      <c r="AC30" s="24">
        <f ca="1">IF(ISNA(C30),NA(),M30-_xll.qlQuoteValue(H30))</f>
        <v>8.6959576606204791E-7</v>
      </c>
      <c r="AD30" s="11"/>
      <c r="AE30" s="1"/>
      <c r="AF30" s="33" t="e">
        <f>_xll.qlBondDescription(#REF!,Trigger)</f>
        <v>#VALUE!</v>
      </c>
      <c r="AG30" s="33" t="e">
        <f>"STRIP."&amp;#REF!</f>
        <v>#REF!</v>
      </c>
      <c r="AH30" s="32" t="e">
        <f>IF(ISNA($AG30),0,_xll.RtGet("DTSIMI2",$AG30,AH$1))</f>
        <v>#VALUE!</v>
      </c>
      <c r="AI30" s="32" t="e">
        <f>IF(ISNA($AG30),0,_xll.RtGet("DTSIMI2",$AG30,AI$1))</f>
        <v>#VALUE!</v>
      </c>
      <c r="AJ30" s="1" t="e">
        <f>IF(ISNA($AG30),0,VLOOKUP($D30,Contribution!$B$4:$B$102,2,FALSE))</f>
        <v>#REF!</v>
      </c>
      <c r="AK30" s="1" t="e">
        <f>IF(ISNA($AG30),0,VLOOKUP($D30,Contribution!$B$4:$B$102,3,FALSE))</f>
        <v>#REF!</v>
      </c>
    </row>
    <row r="31" spans="1:38" x14ac:dyDescent="0.2">
      <c r="A31" s="4"/>
      <c r="B31" s="22" t="str">
        <f>IF(ISNA(C31),NA(),_xll.qlBondDescription(C31,Trigger))</f>
        <v>BTP 2023-08-01 4.75%</v>
      </c>
      <c r="C31" s="16" t="str">
        <v>IT0004356843</v>
      </c>
      <c r="D31" s="18">
        <f>IF(ISNA(C31),NA(),_xll.qlBondMaturityDate(C31,Trigger))</f>
        <v>45139</v>
      </c>
      <c r="E31" s="19">
        <f>IF(ISNA(C31),NA(),_xll.qlBondNextCouponRate(C31,BondSettlementDate))</f>
        <v>4.7500000000000001E-2</v>
      </c>
      <c r="F31" s="30">
        <f>IF(ISNA(C31),NA(),_xll.qlBondRedemptionAmount(C31,Trigger))</f>
        <v>100</v>
      </c>
      <c r="G31" s="17" t="str">
        <f t="shared" si="5"/>
        <v>IT0004356843_Quote</v>
      </c>
      <c r="H31" s="27" t="str">
        <f t="shared" si="6"/>
        <v>IT0004356843_Quote</v>
      </c>
      <c r="I31" s="16" t="str">
        <f>IF(LEFT(B31,3)="BTP",_xll.qlBTP2(,B31,D31,E31,F31,,,,Trigger),_xll.qlCCTEU(,B31,D31,E31,F31,,,,Trigger))</f>
        <v>obj_00409#0003</v>
      </c>
      <c r="J31" s="31" t="str">
        <f>_xll.qlBondHelper(,H31,I31)</f>
        <v>obj_00499#0003</v>
      </c>
      <c r="K31" s="26" t="str">
        <f>_xll.qlBTP2(,B31,D31,E31,F31,,,,Trigger)</f>
        <v>obj_003fc#0003</v>
      </c>
      <c r="L31" s="26" t="b">
        <f>_xll.qlInstrumentSetPricingEngine(K31,BondPricingEngine)</f>
        <v>1</v>
      </c>
      <c r="M31" s="23">
        <f ca="1">_xll.qlBondCleanPrice(K31,AND(ISERROR(L31),ISERROR(N31)))</f>
        <v>119.15999869562123</v>
      </c>
      <c r="N31" s="27">
        <f ca="1">_xll.qlSimpleQuoteSetValue(G31,P31)</f>
        <v>0</v>
      </c>
      <c r="O31" s="29" t="e">
        <f>_xll.qlSimpleQuoteSetValue(#REF!,Q31)</f>
        <v>#VALUE!</v>
      </c>
      <c r="P31" s="27">
        <f t="shared" ca="1" si="0"/>
        <v>119.16</v>
      </c>
      <c r="Q31" s="23">
        <f t="shared" si="1"/>
        <v>0</v>
      </c>
      <c r="R31" s="24">
        <f t="shared" si="2"/>
        <v>0.20000000000000284</v>
      </c>
      <c r="S31" s="28" t="e">
        <f t="shared" si="7"/>
        <v>#VALUE!</v>
      </c>
      <c r="T31" s="23" t="e">
        <f t="shared" si="8"/>
        <v>#VALUE!</v>
      </c>
      <c r="U31" s="26" t="str">
        <f t="shared" si="3"/>
        <v>IT435684=TT</v>
      </c>
      <c r="V31" s="23">
        <v>119.06</v>
      </c>
      <c r="W31" s="23">
        <v>119.26</v>
      </c>
      <c r="X31" s="17" t="e">
        <f ca="1">_xll.MKV("EUR.PRICING.XLS_GOVIES."&amp;$C31,X$1)</f>
        <v>#NAME?</v>
      </c>
      <c r="Y31" s="17" t="e">
        <f ca="1">_xll.MKV("EUR.PRICING.XLS_GOVIES."&amp;$C31,Y$1)</f>
        <v>#NAME?</v>
      </c>
      <c r="Z31" s="25">
        <f ca="1">IF(ISNA(C31),NA(),_xll.qlBondYieldFromCleanPrice(C31,P31,YieldDayCounter,YieldCompounding,YieldFrequency))</f>
        <v>2.3384478637948639E-2</v>
      </c>
      <c r="AA31" s="19" t="b">
        <v>1</v>
      </c>
      <c r="AB31" s="26" t="b">
        <f t="shared" si="4"/>
        <v>1</v>
      </c>
      <c r="AC31" s="24">
        <f ca="1">IF(ISNA(C31),NA(),M31-_xll.qlQuoteValue(H31))</f>
        <v>-1.3043787703281851E-6</v>
      </c>
      <c r="AD31" s="11"/>
      <c r="AE31" s="1"/>
      <c r="AF31" s="33" t="e">
        <f>_xll.qlBondDescription(#REF!,Trigger)</f>
        <v>#VALUE!</v>
      </c>
      <c r="AG31" s="33" t="e">
        <f>"STRIP."&amp;#REF!</f>
        <v>#REF!</v>
      </c>
      <c r="AH31" s="32" t="e">
        <f>IF(ISNA($AG31),0,_xll.RtGet("DTSIMI2",$AG31,AH$1))</f>
        <v>#VALUE!</v>
      </c>
      <c r="AI31" s="32" t="e">
        <f>IF(ISNA($AG31),0,_xll.RtGet("DTSIMI2",$AG31,AI$1))</f>
        <v>#VALUE!</v>
      </c>
      <c r="AJ31" s="1" t="e">
        <f>IF(ISNA($AG31),0,VLOOKUP($D31,Contribution!$B$4:$B$102,2,FALSE))</f>
        <v>#REF!</v>
      </c>
      <c r="AK31" s="1" t="e">
        <f>IF(ISNA($AG31),0,VLOOKUP($D31,Contribution!$B$4:$B$102,3,FALSE))</f>
        <v>#REF!</v>
      </c>
    </row>
    <row r="32" spans="1:38" x14ac:dyDescent="0.2">
      <c r="A32" s="4"/>
      <c r="B32" s="22" t="str">
        <f>IF(ISNA(C32),NA(),_xll.qlBondDescription(C32,Trigger))</f>
        <v>BTP 2023-11-01 9%</v>
      </c>
      <c r="C32" s="16" t="str">
        <v>IT0000366655</v>
      </c>
      <c r="D32" s="18">
        <f>IF(ISNA(C32),NA(),_xll.qlBondMaturityDate(C32,Trigger))</f>
        <v>45231</v>
      </c>
      <c r="E32" s="19">
        <f>IF(ISNA(C32),NA(),_xll.qlBondNextCouponRate(C32,BondSettlementDate))</f>
        <v>0.09</v>
      </c>
      <c r="F32" s="30">
        <f>IF(ISNA(C32),NA(),_xll.qlBondRedemptionAmount(C32,Trigger))</f>
        <v>99.909000000000006</v>
      </c>
      <c r="G32" s="17" t="str">
        <f t="shared" si="5"/>
        <v>IT0000366655_Quote</v>
      </c>
      <c r="H32" s="27" t="str">
        <f t="shared" si="6"/>
        <v>IT0000366655_Quote</v>
      </c>
      <c r="I32" s="16" t="str">
        <f>IF(LEFT(B32,3)="BTP",_xll.qlBTP2(,B32,D32,E32,F32,,,,Trigger),_xll.qlCCTEU(,B32,D32,E32,F32,,,,Trigger))</f>
        <v>obj_00402#0003</v>
      </c>
      <c r="J32" s="31" t="str">
        <f>_xll.qlBondHelper(,H32,I32)</f>
        <v>obj_00498#0003</v>
      </c>
      <c r="K32" s="26" t="str">
        <f>_xll.qlBTP2(,B32,D32,E32,F32,,,,Trigger)</f>
        <v>obj_00430#0003</v>
      </c>
      <c r="L32" s="26" t="b">
        <f>_xll.qlInstrumentSetPricingEngine(K32,BondPricingEngine)</f>
        <v>1</v>
      </c>
      <c r="M32" s="23">
        <f ca="1">_xll.qlBondCleanPrice(K32,AND(ISERROR(L32),ISERROR(N32)))</f>
        <v>154.35000173912943</v>
      </c>
      <c r="N32" s="27">
        <f ca="1">_xll.qlSimpleQuoteSetValue(G32,P32)</f>
        <v>0</v>
      </c>
      <c r="O32" s="29" t="e">
        <f>_xll.qlSimpleQuoteSetValue(#REF!,Q32)</f>
        <v>#VALUE!</v>
      </c>
      <c r="P32" s="27">
        <f t="shared" ca="1" si="0"/>
        <v>154.35000000000002</v>
      </c>
      <c r="Q32" s="23">
        <f t="shared" si="1"/>
        <v>0</v>
      </c>
      <c r="R32" s="24">
        <f t="shared" si="2"/>
        <v>0.53999999999999204</v>
      </c>
      <c r="S32" s="28" t="e">
        <f t="shared" si="7"/>
        <v>#VALUE!</v>
      </c>
      <c r="T32" s="23" t="e">
        <f t="shared" si="8"/>
        <v>#VALUE!</v>
      </c>
      <c r="U32" s="26" t="str">
        <f t="shared" si="3"/>
        <v>IT36665=TT</v>
      </c>
      <c r="V32" s="23">
        <v>154.08000000000001</v>
      </c>
      <c r="W32" s="23">
        <v>154.62</v>
      </c>
      <c r="X32" s="17" t="e">
        <f ca="1">_xll.MKV("EUR.PRICING.XLS_GOVIES."&amp;$C32,X$1)</f>
        <v>#NAME?</v>
      </c>
      <c r="Y32" s="17" t="e">
        <f ca="1">_xll.MKV("EUR.PRICING.XLS_GOVIES."&amp;$C32,Y$1)</f>
        <v>#NAME?</v>
      </c>
      <c r="Z32" s="25">
        <f ca="1">IF(ISNA(C32),NA(),_xll.qlBondYieldFromCleanPrice(C32,P32,YieldDayCounter,YieldCompounding,YieldFrequency))</f>
        <v>2.3069975167885427E-2</v>
      </c>
      <c r="AA32" s="19" t="b">
        <v>1</v>
      </c>
      <c r="AB32" s="26" t="b">
        <f t="shared" si="4"/>
        <v>1</v>
      </c>
      <c r="AC32" s="24">
        <f ca="1">IF(ISNA(C32),NA(),M32-_xll.qlQuoteValue(H32))</f>
        <v>1.739129402267281E-6</v>
      </c>
      <c r="AD32" s="11"/>
      <c r="AE32" s="1"/>
      <c r="AF32" s="33" t="e">
        <f>_xll.qlBondDescription(#REF!,Trigger)</f>
        <v>#VALUE!</v>
      </c>
      <c r="AG32" s="33" t="e">
        <f>"STRIP."&amp;#REF!</f>
        <v>#REF!</v>
      </c>
      <c r="AH32" s="32" t="e">
        <f>IF(ISNA($AG32),0,_xll.RtGet("DTSIMI2",$AG32,AH$1))</f>
        <v>#VALUE!</v>
      </c>
      <c r="AI32" s="32" t="e">
        <f>IF(ISNA($AG32),0,_xll.RtGet("DTSIMI2",$AG32,AI$1))</f>
        <v>#VALUE!</v>
      </c>
      <c r="AJ32" s="1" t="e">
        <f>IF(ISNA($AG32),0,VLOOKUP($D32,Contribution!$B$4:$B$102,2,FALSE))</f>
        <v>#REF!</v>
      </c>
      <c r="AK32" s="1" t="e">
        <f>IF(ISNA($AG32),0,VLOOKUP($D32,Contribution!$B$4:$B$102,3,FALSE))</f>
        <v>#REF!</v>
      </c>
    </row>
    <row r="33" spans="1:37" x14ac:dyDescent="0.2">
      <c r="A33" s="4"/>
      <c r="B33" s="22" t="str">
        <f>IF(ISNA(C33),NA(),_xll.qlBondDescription(C33,Trigger))</f>
        <v>BTP 2024-03-01 4.5%</v>
      </c>
      <c r="C33" s="16" t="str">
        <v>IT0004953417</v>
      </c>
      <c r="D33" s="18">
        <f>IF(ISNA(C33),NA(),_xll.qlBondMaturityDate(C33,Trigger))</f>
        <v>45352</v>
      </c>
      <c r="E33" s="19">
        <f>IF(ISNA(C33),NA(),_xll.qlBondNextCouponRate(C33,BondSettlementDate))</f>
        <v>4.4999999999999998E-2</v>
      </c>
      <c r="F33" s="30">
        <f>IF(ISNA(C33),NA(),_xll.qlBondRedemptionAmount(C33,Trigger))</f>
        <v>100</v>
      </c>
      <c r="G33" s="17" t="str">
        <f t="shared" si="5"/>
        <v>IT0004953417_Quote</v>
      </c>
      <c r="H33" s="27" t="str">
        <f t="shared" si="6"/>
        <v>IT0004953417_Quote</v>
      </c>
      <c r="I33" s="16" t="str">
        <f>IF(LEFT(B33,3)="BTP",_xll.qlBTP2(,B33,D33,E33,F33,,,,Trigger),_xll.qlCCTEU(,B33,D33,E33,F33,,,,Trigger))</f>
        <v>obj_003ee#0003</v>
      </c>
      <c r="J33" s="31" t="str">
        <f>_xll.qlBondHelper(,H33,I33)</f>
        <v>obj_00478#0003</v>
      </c>
      <c r="K33" s="26" t="str">
        <f>_xll.qlBTP2(,B33,D33,E33,F33,,,,Trigger)</f>
        <v>obj_00426#0003</v>
      </c>
      <c r="L33" s="26" t="b">
        <f>_xll.qlInstrumentSetPricingEngine(K33,BondPricingEngine)</f>
        <v>1</v>
      </c>
      <c r="M33" s="23">
        <f ca="1">_xll.qlBondCleanPrice(K33,AND(ISERROR(L33),ISERROR(N33)))</f>
        <v>117.24499602206826</v>
      </c>
      <c r="N33" s="27">
        <f ca="1">_xll.qlSimpleQuoteSetValue(G33,P33)</f>
        <v>0</v>
      </c>
      <c r="O33" s="29" t="e">
        <f>_xll.qlSimpleQuoteSetValue(#REF!,Q33)</f>
        <v>#VALUE!</v>
      </c>
      <c r="P33" s="27">
        <f t="shared" ca="1" si="0"/>
        <v>117.245</v>
      </c>
      <c r="Q33" s="23">
        <f t="shared" si="1"/>
        <v>0</v>
      </c>
      <c r="R33" s="24">
        <f t="shared" si="2"/>
        <v>0.29000000000000625</v>
      </c>
      <c r="S33" s="28" t="e">
        <f t="shared" si="7"/>
        <v>#VALUE!</v>
      </c>
      <c r="T33" s="23" t="e">
        <f t="shared" si="8"/>
        <v>#VALUE!</v>
      </c>
      <c r="U33" s="26" t="str">
        <f t="shared" si="3"/>
        <v>IT495341=TT</v>
      </c>
      <c r="V33" s="23">
        <v>117.1</v>
      </c>
      <c r="W33" s="23">
        <v>117.39</v>
      </c>
      <c r="X33" s="17" t="e">
        <f ca="1">_xll.MKV("EUR.PRICING.XLS_GOVIES."&amp;$C33,X$1)</f>
        <v>#NAME?</v>
      </c>
      <c r="Y33" s="17" t="e">
        <f ca="1">_xll.MKV("EUR.PRICING.XLS_GOVIES."&amp;$C33,Y$1)</f>
        <v>#NAME?</v>
      </c>
      <c r="Z33" s="25">
        <f ca="1">IF(ISNA(C33),NA(),_xll.qlBondYieldFromCleanPrice(C33,P33,YieldDayCounter,YieldCompounding,YieldFrequency))</f>
        <v>2.4443112971372763E-2</v>
      </c>
      <c r="AA33" s="19" t="b">
        <v>1</v>
      </c>
      <c r="AB33" s="26" t="b">
        <f t="shared" si="4"/>
        <v>1</v>
      </c>
      <c r="AC33" s="24">
        <f ca="1">IF(ISNA(C33),NA(),M33-_xll.qlQuoteValue(H33))</f>
        <v>-3.9779317404509129E-6</v>
      </c>
      <c r="AD33" s="11"/>
      <c r="AE33" s="1"/>
      <c r="AF33" s="33" t="e">
        <f>_xll.qlBondDescription(#REF!,Trigger)</f>
        <v>#VALUE!</v>
      </c>
      <c r="AG33" s="33" t="e">
        <f>"STRIP."&amp;#REF!</f>
        <v>#REF!</v>
      </c>
      <c r="AH33" s="32" t="e">
        <f>IF(ISNA($AG33),0,_xll.RtGet("DTSIMI2",$AG33,AH$1))</f>
        <v>#VALUE!</v>
      </c>
      <c r="AI33" s="32" t="e">
        <f>IF(ISNA($AG33),0,_xll.RtGet("DTSIMI2",$AG33,AI$1))</f>
        <v>#VALUE!</v>
      </c>
      <c r="AJ33" s="1" t="e">
        <f>IF(ISNA($AG33),0,VLOOKUP($D33,Contribution!$B$4:$B$102,2,FALSE))</f>
        <v>#REF!</v>
      </c>
      <c r="AK33" s="1" t="e">
        <f>IF(ISNA($AG33),0,VLOOKUP($D33,Contribution!$B$4:$B$102,3,FALSE))</f>
        <v>#REF!</v>
      </c>
    </row>
    <row r="34" spans="1:37" x14ac:dyDescent="0.2">
      <c r="A34" s="4"/>
      <c r="B34" s="22" t="str">
        <f>IF(ISNA(C34),NA(),_xll.qlBondDescription(C34,Trigger))</f>
        <v>BTP 2024-09-01 3.75%</v>
      </c>
      <c r="C34" s="16" t="str">
        <v>IT0005001547</v>
      </c>
      <c r="D34" s="18">
        <f>IF(ISNA(C34),NA(),_xll.qlBondMaturityDate(C34,Trigger))</f>
        <v>45536</v>
      </c>
      <c r="E34" s="19">
        <f>IF(ISNA(C34),NA(),_xll.qlBondNextCouponRate(C34,BondSettlementDate))</f>
        <v>3.7499999999999999E-2</v>
      </c>
      <c r="F34" s="30">
        <f>IF(ISNA(C34),NA(),_xll.qlBondRedemptionAmount(C34,Trigger))</f>
        <v>100</v>
      </c>
      <c r="G34" s="17" t="str">
        <f t="shared" si="5"/>
        <v>IT0005001547_Quote</v>
      </c>
      <c r="H34" s="27" t="str">
        <f t="shared" si="6"/>
        <v>IT0005001547_Quote</v>
      </c>
      <c r="I34" s="16" t="str">
        <f>IF(LEFT(B34,3)="BTP",_xll.qlBTP2(,B34,D34,E34,F34,,,,Trigger),_xll.qlCCTEU(,B34,D34,E34,F34,,,,Trigger))</f>
        <v>obj_0042b#0003</v>
      </c>
      <c r="J34" s="31" t="str">
        <f>_xll.qlBondHelper(,H34,I34)</f>
        <v>obj_0048e#0003</v>
      </c>
      <c r="K34" s="26" t="str">
        <f>_xll.qlBTP2(,B34,D34,E34,F34,,,,Trigger)</f>
        <v>obj_003ff#0003</v>
      </c>
      <c r="L34" s="26" t="b">
        <f>_xll.qlInstrumentSetPricingEngine(K34,BondPricingEngine)</f>
        <v>1</v>
      </c>
      <c r="M34" s="23">
        <f ca="1">_xll.qlBondCleanPrice(K34,AND(ISERROR(L34),ISERROR(N34)))</f>
        <v>110.62499668510227</v>
      </c>
      <c r="N34" s="27">
        <f ca="1">_xll.qlSimpleQuoteSetValue(G34,P34)</f>
        <v>0</v>
      </c>
      <c r="O34" s="29" t="e">
        <f>_xll.qlSimpleQuoteSetValue(#REF!,Q34)</f>
        <v>#VALUE!</v>
      </c>
      <c r="P34" s="27">
        <f t="shared" ref="P34:P50" ca="1" si="9">IF(ISNA(C34),NA(),IF(ISERROR((X34+Y34)/2),IF(PriceSelector="MID",(V34+W34)/2,IF(PriceSelector="BID",V34,W34)),IF(PriceSelector="MID",(X34+Y34)/2,IF(PriceSelector="BID",X34,Y34))))</f>
        <v>110.625</v>
      </c>
      <c r="Q34" s="23">
        <f t="shared" ref="Q34:Q50" si="10">IF(ISNA(C34),NA(),IF(IgnoreResiduePremium,0,(S34+T34)/2))</f>
        <v>0</v>
      </c>
      <c r="R34" s="24">
        <f t="shared" ref="R34:R50" si="11">IF(ISNA(C34),NA(),W34-V34)</f>
        <v>0.34999999999999432</v>
      </c>
      <c r="S34" s="28" t="e">
        <f t="shared" si="7"/>
        <v>#VALUE!</v>
      </c>
      <c r="T34" s="23" t="e">
        <f t="shared" si="8"/>
        <v>#VALUE!</v>
      </c>
      <c r="U34" s="26" t="str">
        <f t="shared" ref="U34:U50" si="12">"IT"&amp;(LEFT(RIGHT(C34,7),6)*1)&amp;"=TT"</f>
        <v>IT500154=TT</v>
      </c>
      <c r="V34" s="23">
        <v>110.45</v>
      </c>
      <c r="W34" s="23">
        <v>110.8</v>
      </c>
      <c r="X34" s="17" t="e">
        <f ca="1">_xll.MKV("EUR.PRICING.XLS_GOVIES."&amp;$C34,X$1)</f>
        <v>#NAME?</v>
      </c>
      <c r="Y34" s="17" t="e">
        <f ca="1">_xll.MKV("EUR.PRICING.XLS_GOVIES."&amp;$C34,Y$1)</f>
        <v>#NAME?</v>
      </c>
      <c r="Z34" s="25">
        <f ca="1">IF(ISNA(C34),NA(),_xll.qlBondYieldFromCleanPrice(C34,P34,YieldDayCounter,YieldCompounding,YieldFrequency))</f>
        <v>2.5414135505631576E-2</v>
      </c>
      <c r="AA34" s="19" t="b">
        <v>1</v>
      </c>
      <c r="AB34" s="26" t="b">
        <f t="shared" ref="AB34:AB50" si="13">IF(ISNA(C34),FALSE,IF(OR(LEFT(B34,3)="CCT",ExcludeMarchSeptember,AND(NOT(IgnoreResiduePremium),Q34=0)),FALSE,IF((AA34),TRUE,FALSE)))</f>
        <v>1</v>
      </c>
      <c r="AC34" s="24">
        <f ca="1">IF(ISNA(C34),NA(),M34-_xll.qlQuoteValue(H34))</f>
        <v>-3.3148977252039913E-6</v>
      </c>
      <c r="AD34" s="11"/>
      <c r="AE34" s="1"/>
      <c r="AF34" s="33" t="e">
        <f>_xll.qlBondDescription(#REF!,Trigger)</f>
        <v>#VALUE!</v>
      </c>
      <c r="AG34" s="33" t="e">
        <f>"STRIP."&amp;#REF!</f>
        <v>#REF!</v>
      </c>
      <c r="AH34" s="32" t="e">
        <f>IF(ISNA($AG34),0,_xll.RtGet("DTSIMI2",$AG34,AH$1))</f>
        <v>#VALUE!</v>
      </c>
      <c r="AI34" s="32" t="e">
        <f>IF(ISNA($AG34),0,_xll.RtGet("DTSIMI2",$AG34,AI$1))</f>
        <v>#VALUE!</v>
      </c>
      <c r="AJ34" s="1" t="e">
        <f>IF(ISNA($AG34),0,VLOOKUP($D34,Contribution!$B$4:$B$102,2,FALSE))</f>
        <v>#REF!</v>
      </c>
      <c r="AK34" s="1" t="e">
        <f>IF(ISNA($AG34),0,VLOOKUP($D34,Contribution!$B$4:$B$102,3,FALSE))</f>
        <v>#REF!</v>
      </c>
    </row>
    <row r="35" spans="1:37" x14ac:dyDescent="0.2">
      <c r="A35" s="4"/>
      <c r="B35" s="22" t="str">
        <f>IF(ISNA(C35),NA(),_xll.qlBondDescription(C35,Trigger))</f>
        <v>BTP 2024-12-01 2.5%</v>
      </c>
      <c r="C35" s="16" t="str">
        <v>IT0005045270</v>
      </c>
      <c r="D35" s="18">
        <f>IF(ISNA(C35),NA(),_xll.qlBondMaturityDate(C35,Trigger))</f>
        <v>45627</v>
      </c>
      <c r="E35" s="19">
        <f>IF(ISNA(C35),NA(),_xll.qlBondNextCouponRate(C35,BondSettlementDate))</f>
        <v>2.5000000000000001E-2</v>
      </c>
      <c r="F35" s="30">
        <f>IF(ISNA(C35),NA(),_xll.qlBondRedemptionAmount(C35,Trigger))</f>
        <v>100</v>
      </c>
      <c r="G35" s="17" t="str">
        <f t="shared" si="5"/>
        <v>IT0005045270_Quote</v>
      </c>
      <c r="H35" s="27" t="str">
        <f t="shared" si="6"/>
        <v>IT0005045270_Quote</v>
      </c>
      <c r="I35" s="16" t="str">
        <f>IF(LEFT(B35,3)="BTP",_xll.qlBTP2(,B35,D35,E35,F35,,,,Trigger),_xll.qlCCTEU(,B35,D35,E35,F35,,,,Trigger))</f>
        <v>obj_00406#0003</v>
      </c>
      <c r="J35" s="31" t="str">
        <f>_xll.qlBondHelper(,H35,I35)</f>
        <v>obj_0044b#0003</v>
      </c>
      <c r="K35" s="26" t="str">
        <f>_xll.qlBTP2(,B35,D35,E35,F35,,,,Trigger)</f>
        <v>obj_003e4#0003</v>
      </c>
      <c r="L35" s="26" t="b">
        <f>_xll.qlInstrumentSetPricingEngine(K35,BondPricingEngine)</f>
        <v>1</v>
      </c>
      <c r="M35" s="23">
        <f ca="1">_xll.qlBondCleanPrice(K35,AND(ISERROR(L35),ISERROR(N35)))</f>
        <v>100.11500475409497</v>
      </c>
      <c r="N35" s="27">
        <f ca="1">_xll.qlSimpleQuoteSetValue(G35,P35)</f>
        <v>0</v>
      </c>
      <c r="O35" s="29" t="e">
        <f>_xll.qlSimpleQuoteSetValue(#REF!,Q35)</f>
        <v>#VALUE!</v>
      </c>
      <c r="P35" s="27">
        <f t="shared" ca="1" si="9"/>
        <v>100.11500000000001</v>
      </c>
      <c r="Q35" s="23">
        <f t="shared" si="10"/>
        <v>0</v>
      </c>
      <c r="R35" s="24">
        <f t="shared" si="11"/>
        <v>0.29000000000000625</v>
      </c>
      <c r="S35" s="28" t="e">
        <f t="shared" si="7"/>
        <v>#VALUE!</v>
      </c>
      <c r="T35" s="23" t="e">
        <f t="shared" si="8"/>
        <v>#VALUE!</v>
      </c>
      <c r="U35" s="26" t="str">
        <f t="shared" si="12"/>
        <v>IT504527=TT</v>
      </c>
      <c r="V35" s="23">
        <v>99.97</v>
      </c>
      <c r="W35" s="23">
        <v>100.26</v>
      </c>
      <c r="X35" s="17" t="e">
        <f ca="1">_xll.MKV("EUR.PRICING.XLS_GOVIES."&amp;$C35,X$1)</f>
        <v>#NAME?</v>
      </c>
      <c r="Y35" s="17" t="e">
        <f ca="1">_xll.MKV("EUR.PRICING.XLS_GOVIES."&amp;$C35,Y$1)</f>
        <v>#NAME?</v>
      </c>
      <c r="Z35" s="25">
        <f ca="1">IF(ISNA(C35),NA(),_xll.qlBondYieldFromCleanPrice(C35,P35,YieldDayCounter,YieldCompounding,YieldFrequency))</f>
        <v>2.5019138599559673E-2</v>
      </c>
      <c r="AA35" s="19" t="b">
        <v>1</v>
      </c>
      <c r="AB35" s="26" t="b">
        <f t="shared" si="13"/>
        <v>1</v>
      </c>
      <c r="AC35" s="24">
        <f ca="1">IF(ISNA(C35),NA(),M35-_xll.qlQuoteValue(H35))</f>
        <v>4.754094959480426E-6</v>
      </c>
      <c r="AD35" s="11"/>
      <c r="AE35" s="1"/>
      <c r="AF35" s="33" t="e">
        <f>_xll.qlBondDescription(#REF!,Trigger)</f>
        <v>#VALUE!</v>
      </c>
      <c r="AG35" s="33" t="e">
        <f>"STRIP."&amp;#REF!</f>
        <v>#REF!</v>
      </c>
      <c r="AH35" s="32" t="e">
        <f>IF(ISNA($AG35),0,_xll.RtGet("DTSIMI2",$AG35,AH$1))</f>
        <v>#VALUE!</v>
      </c>
      <c r="AI35" s="32" t="e">
        <f>IF(ISNA($AG35),0,_xll.RtGet("DTSIMI2",$AG35,AI$1))</f>
        <v>#VALUE!</v>
      </c>
      <c r="AJ35" s="1" t="e">
        <f>IF(ISNA($AG35),0,VLOOKUP($D35,Contribution!$B$4:$B$102,2,FALSE))</f>
        <v>#N/A</v>
      </c>
      <c r="AK35" s="1" t="e">
        <f>IF(ISNA($AG35),0,VLOOKUP($D35,Contribution!$B$4:$B$102,3,FALSE))</f>
        <v>#N/A</v>
      </c>
    </row>
    <row r="36" spans="1:37" x14ac:dyDescent="0.2">
      <c r="A36" s="4"/>
      <c r="B36" s="22" t="str">
        <f>IF(ISNA(C36),NA(),_xll.qlBondDescription(C36,Trigger))</f>
        <v>BTP 2025-03-01 5%</v>
      </c>
      <c r="C36" s="16" t="str">
        <v>IT0004513641</v>
      </c>
      <c r="D36" s="18">
        <f>IF(ISNA(C36),NA(),_xll.qlBondMaturityDate(C36,Trigger))</f>
        <v>45717</v>
      </c>
      <c r="E36" s="19">
        <f>IF(ISNA(C36),NA(),_xll.qlBondNextCouponRate(C36,BondSettlementDate))</f>
        <v>0.05</v>
      </c>
      <c r="F36" s="30">
        <f>IF(ISNA(C36),NA(),_xll.qlBondRedemptionAmount(C36,Trigger))</f>
        <v>100</v>
      </c>
      <c r="G36" s="17" t="str">
        <f t="shared" si="5"/>
        <v>IT0004513641_Quote</v>
      </c>
      <c r="H36" s="27" t="str">
        <f t="shared" si="6"/>
        <v>IT0004513641_Quote</v>
      </c>
      <c r="I36" s="16" t="str">
        <f>IF(LEFT(B36,3)="BTP",_xll.qlBTP2(,B36,D36,E36,F36,,,,Trigger),_xll.qlCCTEU(,B36,D36,E36,F36,,,,Trigger))</f>
        <v>obj_003f8#0003</v>
      </c>
      <c r="J36" s="31" t="str">
        <f>_xll.qlBondHelper(,H36,I36)</f>
        <v>obj_0048b#0003</v>
      </c>
      <c r="K36" s="26" t="str">
        <f>_xll.qlBTP2(,B36,D36,E36,F36,,,,Trigger)</f>
        <v>obj_00435#0003</v>
      </c>
      <c r="L36" s="26" t="b">
        <f>_xll.qlInstrumentSetPricingEngine(K36,BondPricingEngine)</f>
        <v>1</v>
      </c>
      <c r="M36" s="23">
        <f ca="1">_xll.qlBondCleanPrice(K36,AND(ISERROR(L36),ISERROR(N36)))</f>
        <v>121.35999558010931</v>
      </c>
      <c r="N36" s="27">
        <f ca="1">_xll.qlSimpleQuoteSetValue(G36,P36)</f>
        <v>0</v>
      </c>
      <c r="O36" s="29" t="e">
        <f>_xll.qlSimpleQuoteSetValue(#REF!,Q36)</f>
        <v>#VALUE!</v>
      </c>
      <c r="P36" s="27">
        <f t="shared" ca="1" si="9"/>
        <v>121.36</v>
      </c>
      <c r="Q36" s="23">
        <f t="shared" si="10"/>
        <v>0</v>
      </c>
      <c r="R36" s="24">
        <f t="shared" si="11"/>
        <v>0.41999999999998749</v>
      </c>
      <c r="S36" s="28" t="e">
        <f t="shared" si="7"/>
        <v>#VALUE!</v>
      </c>
      <c r="T36" s="23" t="e">
        <f t="shared" si="8"/>
        <v>#VALUE!</v>
      </c>
      <c r="U36" s="26" t="str">
        <f t="shared" si="12"/>
        <v>IT451364=TT</v>
      </c>
      <c r="V36" s="23">
        <v>121.15</v>
      </c>
      <c r="W36" s="23">
        <v>121.57</v>
      </c>
      <c r="X36" s="17" t="e">
        <f ca="1">_xll.MKV("EUR.PRICING.XLS_GOVIES."&amp;$C36,X$1)</f>
        <v>#NAME?</v>
      </c>
      <c r="Y36" s="17" t="e">
        <f ca="1">_xll.MKV("EUR.PRICING.XLS_GOVIES."&amp;$C36,Y$1)</f>
        <v>#NAME?</v>
      </c>
      <c r="Z36" s="25">
        <f ca="1">IF(ISNA(C36),NA(),_xll.qlBondYieldFromCleanPrice(C36,P36,YieldDayCounter,YieldCompounding,YieldFrequency))</f>
        <v>2.6476409270241866E-2</v>
      </c>
      <c r="AA36" s="19" t="b">
        <v>1</v>
      </c>
      <c r="AB36" s="26" t="b">
        <f t="shared" si="13"/>
        <v>1</v>
      </c>
      <c r="AC36" s="24">
        <f ca="1">IF(ISNA(C36),NA(),M36-_xll.qlQuoteValue(H36))</f>
        <v>-4.4198906863357479E-6</v>
      </c>
      <c r="AD36" s="11"/>
      <c r="AE36" s="1"/>
      <c r="AF36" s="33" t="e">
        <f>_xll.qlBondDescription(#REF!,Trigger)</f>
        <v>#VALUE!</v>
      </c>
      <c r="AG36" s="33" t="e">
        <f>"STRIP."&amp;#REF!</f>
        <v>#REF!</v>
      </c>
      <c r="AH36" s="32" t="e">
        <f>IF(ISNA($AG36),0,_xll.RtGet("DTSIMI2",$AG36,AH$1))</f>
        <v>#VALUE!</v>
      </c>
      <c r="AI36" s="32" t="e">
        <f>IF(ISNA($AG36),0,_xll.RtGet("DTSIMI2",$AG36,AI$1))</f>
        <v>#VALUE!</v>
      </c>
      <c r="AJ36" s="1" t="e">
        <f>IF(ISNA($AG36),0,VLOOKUP($D36,Contribution!$B$4:$B$102,2,FALSE))</f>
        <v>#REF!</v>
      </c>
      <c r="AK36" s="1" t="e">
        <f>IF(ISNA($AG36),0,VLOOKUP($D36,Contribution!$B$4:$B$102,3,FALSE))</f>
        <v>#REF!</v>
      </c>
    </row>
    <row r="37" spans="1:37" x14ac:dyDescent="0.2">
      <c r="A37" s="4"/>
      <c r="B37" s="22" t="str">
        <f>IF(ISNA(C37),NA(),_xll.qlBondDescription(C37,Trigger))</f>
        <v>BTP 2026-03-01 4.5%</v>
      </c>
      <c r="C37" s="16" t="str">
        <v>IT0004644735</v>
      </c>
      <c r="D37" s="18">
        <f>IF(ISNA(C37),NA(),_xll.qlBondMaturityDate(C37,Trigger))</f>
        <v>46082</v>
      </c>
      <c r="E37" s="19">
        <f>IF(ISNA(C37),NA(),_xll.qlBondNextCouponRate(C37,BondSettlementDate))</f>
        <v>4.4999999999999998E-2</v>
      </c>
      <c r="F37" s="30">
        <f>IF(ISNA(C37),NA(),_xll.qlBondRedemptionAmount(C37,Trigger))</f>
        <v>100</v>
      </c>
      <c r="G37" s="17" t="str">
        <f t="shared" si="5"/>
        <v>IT0004644735_Quote</v>
      </c>
      <c r="H37" s="27" t="str">
        <f t="shared" si="6"/>
        <v>IT0004644735_Quote</v>
      </c>
      <c r="I37" s="16" t="str">
        <f>IF(LEFT(B37,3)="BTP",_xll.qlBTP2(,B37,D37,E37,F37,,,,Trigger),_xll.qlCCTEU(,B37,D37,E37,F37,,,,Trigger))</f>
        <v>obj_00438#0003</v>
      </c>
      <c r="J37" s="31" t="str">
        <f>_xll.qlBondHelper(,H37,I37)</f>
        <v>obj_0048a#0003</v>
      </c>
      <c r="K37" s="26" t="str">
        <f>_xll.qlBTP2(,B37,D37,E37,F37,,,,Trigger)</f>
        <v>obj_00401#0003</v>
      </c>
      <c r="L37" s="26" t="b">
        <f>_xll.qlInstrumentSetPricingEngine(K37,BondPricingEngine)</f>
        <v>1</v>
      </c>
      <c r="M37" s="23">
        <f ca="1">_xll.qlBondCleanPrice(K37,AND(ISERROR(L37),ISERROR(N37)))</f>
        <v>116.56999602209852</v>
      </c>
      <c r="N37" s="27">
        <f ca="1">_xll.qlSimpleQuoteSetValue(G37,P37)</f>
        <v>0</v>
      </c>
      <c r="O37" s="29" t="e">
        <f>_xll.qlSimpleQuoteSetValue(#REF!,Q37)</f>
        <v>#VALUE!</v>
      </c>
      <c r="P37" s="27">
        <f t="shared" ca="1" si="9"/>
        <v>116.57</v>
      </c>
      <c r="Q37" s="23">
        <f t="shared" si="10"/>
        <v>0</v>
      </c>
      <c r="R37" s="24">
        <f t="shared" si="11"/>
        <v>0.44000000000001194</v>
      </c>
      <c r="S37" s="28" t="e">
        <f t="shared" si="7"/>
        <v>#VALUE!</v>
      </c>
      <c r="T37" s="23" t="e">
        <f t="shared" si="8"/>
        <v>#VALUE!</v>
      </c>
      <c r="U37" s="26" t="str">
        <f t="shared" si="12"/>
        <v>IT464473=TT</v>
      </c>
      <c r="V37" s="23">
        <v>116.35</v>
      </c>
      <c r="W37" s="23">
        <v>116.79</v>
      </c>
      <c r="X37" s="17" t="e">
        <f ca="1">_xll.MKV("EUR.PRICING.XLS_GOVIES."&amp;$C37,X$1)</f>
        <v>#NAME?</v>
      </c>
      <c r="Y37" s="17" t="e">
        <f ca="1">_xll.MKV("EUR.PRICING.XLS_GOVIES."&amp;$C37,Y$1)</f>
        <v>#NAME?</v>
      </c>
      <c r="Z37" s="25">
        <f ca="1">IF(ISNA(C37),NA(),_xll.qlBondYieldFromCleanPrice(C37,P37,YieldDayCounter,YieldCompounding,YieldFrequency))</f>
        <v>2.8071854826435452E-2</v>
      </c>
      <c r="AA37" s="19" t="b">
        <v>1</v>
      </c>
      <c r="AB37" s="26" t="b">
        <f t="shared" si="13"/>
        <v>1</v>
      </c>
      <c r="AC37" s="24">
        <f ca="1">IF(ISNA(C37),NA(),M37-_xll.qlQuoteValue(H37))</f>
        <v>-3.9779014713303695E-6</v>
      </c>
      <c r="AD37" s="11"/>
      <c r="AE37" s="1"/>
      <c r="AF37" s="33" t="e">
        <f>_xll.qlBondDescription(#REF!,Trigger)</f>
        <v>#VALUE!</v>
      </c>
      <c r="AG37" s="33" t="e">
        <f>"STRIP."&amp;#REF!</f>
        <v>#REF!</v>
      </c>
      <c r="AH37" s="32" t="e">
        <f>IF(ISNA($AG37),0,_xll.RtGet("DTSIMI2",$AG37,AH$1))</f>
        <v>#VALUE!</v>
      </c>
      <c r="AI37" s="32" t="e">
        <f>IF(ISNA($AG37),0,_xll.RtGet("DTSIMI2",$AG37,AI$1))</f>
        <v>#VALUE!</v>
      </c>
      <c r="AJ37" s="1" t="e">
        <f>IF(ISNA($AG37),0,VLOOKUP($D37,Contribution!$B$4:$B$102,2,FALSE))</f>
        <v>#REF!</v>
      </c>
      <c r="AK37" s="1" t="e">
        <f>IF(ISNA($AG37),0,VLOOKUP($D37,Contribution!$B$4:$B$102,3,FALSE))</f>
        <v>#REF!</v>
      </c>
    </row>
    <row r="38" spans="1:37" x14ac:dyDescent="0.2">
      <c r="A38" s="4"/>
      <c r="B38" s="22" t="str">
        <f>IF(ISNA(C38),NA(),_xll.qlBondDescription(C38,Trigger))</f>
        <v>BTP 2026-11-01 7.25%</v>
      </c>
      <c r="C38" s="16" t="str">
        <v>IT0001086567</v>
      </c>
      <c r="D38" s="18">
        <f>IF(ISNA(C38),NA(),_xll.qlBondMaturityDate(C38,Trigger))</f>
        <v>46327</v>
      </c>
      <c r="E38" s="19">
        <f>IF(ISNA(C38),NA(),_xll.qlBondNextCouponRate(C38,BondSettlementDate))</f>
        <v>7.2499999999999995E-2</v>
      </c>
      <c r="F38" s="30">
        <f>IF(ISNA(C38),NA(),_xll.qlBondRedemptionAmount(C38,Trigger))</f>
        <v>99.999000000000009</v>
      </c>
      <c r="G38" s="17" t="str">
        <f t="shared" si="5"/>
        <v>IT0001086567_Quote</v>
      </c>
      <c r="H38" s="27" t="str">
        <f t="shared" si="6"/>
        <v>IT0001086567_Quote</v>
      </c>
      <c r="I38" s="16" t="str">
        <f>IF(LEFT(B38,3)="BTP",_xll.qlBTP2(,B38,D38,E38,F38,,,,Trigger),_xll.qlCCTEU(,B38,D38,E38,F38,,,,Trigger))</f>
        <v>obj_003de#0003</v>
      </c>
      <c r="J38" s="31" t="str">
        <f>_xll.qlBondHelper(,H38,I38)</f>
        <v>obj_00485#0003</v>
      </c>
      <c r="K38" s="26" t="str">
        <f>_xll.qlBTP2(,B38,D38,E38,F38,,,,Trigger)</f>
        <v>obj_003ea#0003</v>
      </c>
      <c r="L38" s="26" t="b">
        <f>_xll.qlInstrumentSetPricingEngine(K38,BondPricingEngine)</f>
        <v>1</v>
      </c>
      <c r="M38" s="23">
        <f ca="1">_xll.qlBondCleanPrice(K38,AND(ISERROR(L38),ISERROR(N38)))</f>
        <v>145.10499695652547</v>
      </c>
      <c r="N38" s="27">
        <f ca="1">_xll.qlSimpleQuoteSetValue(G38,P38)</f>
        <v>0</v>
      </c>
      <c r="O38" s="29" t="e">
        <f>_xll.qlSimpleQuoteSetValue(#REF!,Q38)</f>
        <v>#VALUE!</v>
      </c>
      <c r="P38" s="27">
        <f t="shared" ca="1" si="9"/>
        <v>145.10500000000002</v>
      </c>
      <c r="Q38" s="23">
        <f t="shared" si="10"/>
        <v>0</v>
      </c>
      <c r="R38" s="24">
        <f t="shared" si="11"/>
        <v>0.54999999999998295</v>
      </c>
      <c r="S38" s="28" t="e">
        <f t="shared" si="7"/>
        <v>#VALUE!</v>
      </c>
      <c r="T38" s="23" t="e">
        <f t="shared" si="8"/>
        <v>#VALUE!</v>
      </c>
      <c r="U38" s="26" t="str">
        <f t="shared" si="12"/>
        <v>IT108656=TT</v>
      </c>
      <c r="V38" s="23">
        <v>144.83000000000001</v>
      </c>
      <c r="W38" s="23">
        <v>145.38</v>
      </c>
      <c r="X38" s="17" t="e">
        <f ca="1">_xll.MKV("EUR.PRICING.XLS_GOVIES."&amp;$C38,X$1)</f>
        <v>#NAME?</v>
      </c>
      <c r="Y38" s="17" t="e">
        <f ca="1">_xll.MKV("EUR.PRICING.XLS_GOVIES."&amp;$C38,Y$1)</f>
        <v>#NAME?</v>
      </c>
      <c r="Z38" s="25">
        <f ca="1">IF(ISNA(C38),NA(),_xll.qlBondYieldFromCleanPrice(C38,P38,YieldDayCounter,YieldCompounding,YieldFrequency))</f>
        <v>2.8254544249549512E-2</v>
      </c>
      <c r="AA38" s="19" t="b">
        <v>1</v>
      </c>
      <c r="AB38" s="26" t="b">
        <f t="shared" si="13"/>
        <v>1</v>
      </c>
      <c r="AC38" s="24">
        <f ca="1">IF(ISNA(C38),NA(),M38-_xll.qlQuoteValue(H38))</f>
        <v>-3.0434745497132099E-6</v>
      </c>
      <c r="AD38" s="11"/>
      <c r="AE38" s="1"/>
      <c r="AF38" s="33" t="e">
        <f>_xll.qlBondDescription(#REF!,Trigger)</f>
        <v>#VALUE!</v>
      </c>
      <c r="AG38" s="33" t="e">
        <f>"STRIP."&amp;#REF!</f>
        <v>#REF!</v>
      </c>
      <c r="AH38" s="32" t="e">
        <f>IF(ISNA($AG38),0,_xll.RtGet("DTSIMI2",$AG38,AH$1))</f>
        <v>#VALUE!</v>
      </c>
      <c r="AI38" s="32" t="e">
        <f>IF(ISNA($AG38),0,_xll.RtGet("DTSIMI2",$AG38,AI$1))</f>
        <v>#VALUE!</v>
      </c>
      <c r="AJ38" s="1" t="e">
        <f>IF(ISNA($AG38),0,VLOOKUP($D38,Contribution!$B$4:$B$102,2,FALSE))</f>
        <v>#REF!</v>
      </c>
      <c r="AK38" s="1" t="e">
        <f>IF(ISNA($AG38),0,VLOOKUP($D38,Contribution!$B$4:$B$102,3,FALSE))</f>
        <v>#REF!</v>
      </c>
    </row>
    <row r="39" spans="1:37" x14ac:dyDescent="0.2">
      <c r="A39" s="4"/>
      <c r="B39" s="22" t="str">
        <f>IF(ISNA(C39),NA(),_xll.qlBondDescription(C39,Trigger))</f>
        <v>BTP 2027-11-01 6.5%</v>
      </c>
      <c r="C39" s="16" t="str">
        <v>IT0001174611</v>
      </c>
      <c r="D39" s="18">
        <f>IF(ISNA(C39),NA(),_xll.qlBondMaturityDate(C39,Trigger))</f>
        <v>46692</v>
      </c>
      <c r="E39" s="19">
        <f>IF(ISNA(C39),NA(),_xll.qlBondNextCouponRate(C39,BondSettlementDate))</f>
        <v>6.5000000000000002E-2</v>
      </c>
      <c r="F39" s="30">
        <f>IF(ISNA(C39),NA(),_xll.qlBondRedemptionAmount(C39,Trigger))</f>
        <v>100</v>
      </c>
      <c r="G39" s="17" t="str">
        <f t="shared" si="5"/>
        <v>IT0001174611_Quote</v>
      </c>
      <c r="H39" s="27" t="str">
        <f t="shared" si="6"/>
        <v>IT0001174611_Quote</v>
      </c>
      <c r="I39" s="16" t="str">
        <f>IF(LEFT(B39,3)="BTP",_xll.qlBTP2(,B39,D39,E39,F39,,,,Trigger),_xll.qlCCTEU(,B39,D39,E39,F39,,,,Trigger))</f>
        <v>obj_0041f#0003</v>
      </c>
      <c r="J39" s="31" t="str">
        <f>_xll.qlBondHelper(,H39,I39)</f>
        <v>obj_00480#0003</v>
      </c>
      <c r="K39" s="26" t="str">
        <f>_xll.qlBTP2(,B39,D39,E39,F39,,,,Trigger)</f>
        <v>obj_0042f#0003</v>
      </c>
      <c r="L39" s="26" t="b">
        <f>_xll.qlInstrumentSetPricingEngine(K39,BondPricingEngine)</f>
        <v>1</v>
      </c>
      <c r="M39" s="23">
        <f ca="1">_xll.qlBondCleanPrice(K39,AND(ISERROR(L39),ISERROR(N39)))</f>
        <v>137.93500347826168</v>
      </c>
      <c r="N39" s="27">
        <f ca="1">_xll.qlSimpleQuoteSetValue(G39,P39)</f>
        <v>0</v>
      </c>
      <c r="O39" s="29" t="e">
        <f>_xll.qlSimpleQuoteSetValue(#REF!,Q39)</f>
        <v>#VALUE!</v>
      </c>
      <c r="P39" s="27">
        <f t="shared" ca="1" si="9"/>
        <v>137.935</v>
      </c>
      <c r="Q39" s="23">
        <f t="shared" si="10"/>
        <v>0</v>
      </c>
      <c r="R39" s="24">
        <f t="shared" si="11"/>
        <v>0.55000000000001137</v>
      </c>
      <c r="S39" s="28" t="e">
        <f t="shared" si="7"/>
        <v>#VALUE!</v>
      </c>
      <c r="T39" s="23" t="e">
        <f t="shared" si="8"/>
        <v>#VALUE!</v>
      </c>
      <c r="U39" s="26" t="str">
        <f t="shared" si="12"/>
        <v>IT117461=TT</v>
      </c>
      <c r="V39" s="23">
        <v>137.66</v>
      </c>
      <c r="W39" s="23">
        <v>138.21</v>
      </c>
      <c r="X39" s="17" t="e">
        <f ca="1">_xll.MKV("EUR.PRICING.XLS_GOVIES."&amp;$C39,X$1)</f>
        <v>#NAME?</v>
      </c>
      <c r="Y39" s="17" t="e">
        <f ca="1">_xll.MKV("EUR.PRICING.XLS_GOVIES."&amp;$C39,Y$1)</f>
        <v>#NAME?</v>
      </c>
      <c r="Z39" s="25">
        <f ca="1">IF(ISNA(C39),NA(),_xll.qlBondYieldFromCleanPrice(C39,P39,YieldDayCounter,YieldCompounding,YieldFrequency))</f>
        <v>2.9900913281366234E-2</v>
      </c>
      <c r="AA39" s="19" t="b">
        <v>1</v>
      </c>
      <c r="AB39" s="26" t="b">
        <f t="shared" si="13"/>
        <v>1</v>
      </c>
      <c r="AC39" s="24">
        <f ca="1">IF(ISNA(C39),NA(),M39-_xll.qlQuoteValue(H39))</f>
        <v>3.4782616751272144E-6</v>
      </c>
      <c r="AD39" s="11"/>
      <c r="AE39" s="1"/>
      <c r="AF39" s="33" t="e">
        <f>_xll.qlBondDescription(#REF!,Trigger)</f>
        <v>#VALUE!</v>
      </c>
      <c r="AG39" s="33" t="e">
        <f>"STRIP."&amp;#REF!</f>
        <v>#REF!</v>
      </c>
      <c r="AH39" s="32" t="e">
        <f>IF(ISNA($AG39),0,_xll.RtGet("DTSIMI2",$AG39,AH$1))</f>
        <v>#VALUE!</v>
      </c>
      <c r="AI39" s="32" t="e">
        <f>IF(ISNA($AG39),0,_xll.RtGet("DTSIMI2",$AG39,AI$1))</f>
        <v>#VALUE!</v>
      </c>
      <c r="AJ39" s="1" t="e">
        <f>IF(ISNA($AG39),0,VLOOKUP($D39,Contribution!$B$4:$B$102,2,FALSE))</f>
        <v>#REF!</v>
      </c>
      <c r="AK39" s="1" t="e">
        <f>IF(ISNA($AG39),0,VLOOKUP($D39,Contribution!$B$4:$B$102,3,FALSE))</f>
        <v>#REF!</v>
      </c>
    </row>
    <row r="40" spans="1:37" x14ac:dyDescent="0.2">
      <c r="A40" s="4"/>
      <c r="B40" s="22" t="str">
        <f>IF(ISNA(C40),NA(),_xll.qlBondDescription(C40,Trigger))</f>
        <v>BTP 2028-09-01 4.75%</v>
      </c>
      <c r="C40" s="16" t="str">
        <v>IT0004889033</v>
      </c>
      <c r="D40" s="18">
        <f>IF(ISNA(C40),NA(),_xll.qlBondMaturityDate(C40,Trigger))</f>
        <v>46997</v>
      </c>
      <c r="E40" s="19">
        <f>IF(ISNA(C40),NA(),_xll.qlBondNextCouponRate(C40,BondSettlementDate))</f>
        <v>4.7500000000000001E-2</v>
      </c>
      <c r="F40" s="30">
        <f>IF(ISNA(C40),NA(),_xll.qlBondRedemptionAmount(C40,Trigger))</f>
        <v>100</v>
      </c>
      <c r="G40" s="17" t="str">
        <f t="shared" si="5"/>
        <v>IT0004889033_Quote</v>
      </c>
      <c r="H40" s="27" t="str">
        <f t="shared" si="6"/>
        <v>IT0004889033_Quote</v>
      </c>
      <c r="I40" s="16" t="str">
        <f>IF(LEFT(B40,3)="BTP",_xll.qlBTP2(,B40,D40,E40,F40,,,,Trigger),_xll.qlCCTEU(,B40,D40,E40,F40,,,,Trigger))</f>
        <v>obj_003f7#0003</v>
      </c>
      <c r="J40" s="31" t="str">
        <f>_xll.qlBondHelper(,H40,I40)</f>
        <v>obj_0049a#0003</v>
      </c>
      <c r="K40" s="26" t="str">
        <f>_xll.qlBTP2(,B40,D40,E40,F40,,,,Trigger)</f>
        <v>obj_003e8#0003</v>
      </c>
      <c r="L40" s="26" t="b">
        <f>_xll.qlInstrumentSetPricingEngine(K40,BondPricingEngine)</f>
        <v>1</v>
      </c>
      <c r="M40" s="23">
        <f ca="1">_xll.qlBondCleanPrice(K40,AND(ISERROR(L40),ISERROR(N40)))</f>
        <v>118.5549958011964</v>
      </c>
      <c r="N40" s="27">
        <f ca="1">_xll.qlSimpleQuoteSetValue(G40,P40)</f>
        <v>0</v>
      </c>
      <c r="O40" s="29" t="e">
        <f>_xll.qlSimpleQuoteSetValue(#REF!,Q40)</f>
        <v>#VALUE!</v>
      </c>
      <c r="P40" s="27">
        <f t="shared" ca="1" si="9"/>
        <v>118.55500000000001</v>
      </c>
      <c r="Q40" s="23">
        <f t="shared" si="10"/>
        <v>0</v>
      </c>
      <c r="R40" s="24">
        <f t="shared" si="11"/>
        <v>0.52999999999998693</v>
      </c>
      <c r="S40" s="28" t="e">
        <f t="shared" si="7"/>
        <v>#VALUE!</v>
      </c>
      <c r="T40" s="23" t="e">
        <f t="shared" si="8"/>
        <v>#VALUE!</v>
      </c>
      <c r="U40" s="26" t="str">
        <f t="shared" si="12"/>
        <v>IT488903=TT</v>
      </c>
      <c r="V40" s="23">
        <v>118.29</v>
      </c>
      <c r="W40" s="23">
        <v>118.82</v>
      </c>
      <c r="X40" s="17" t="e">
        <f ca="1">_xll.MKV("EUR.PRICING.XLS_GOVIES."&amp;$C40,X$1)</f>
        <v>#NAME?</v>
      </c>
      <c r="Y40" s="17" t="e">
        <f ca="1">_xll.MKV("EUR.PRICING.XLS_GOVIES."&amp;$C40,Y$1)</f>
        <v>#NAME?</v>
      </c>
      <c r="Z40" s="25">
        <f ca="1">IF(ISNA(C40),NA(),_xll.qlBondYieldFromCleanPrice(C40,P40,YieldDayCounter,YieldCompounding,YieldFrequency))</f>
        <v>3.1175438370928173E-2</v>
      </c>
      <c r="AA40" s="19" t="b">
        <v>1</v>
      </c>
      <c r="AB40" s="26" t="b">
        <f t="shared" si="13"/>
        <v>1</v>
      </c>
      <c r="AC40" s="24">
        <f ca="1">IF(ISNA(C40),NA(),M40-_xll.qlQuoteValue(H40))</f>
        <v>-4.1988036088014269E-6</v>
      </c>
      <c r="AD40" s="11"/>
      <c r="AE40" s="1"/>
      <c r="AF40" s="33" t="e">
        <f>_xll.qlBondDescription(#REF!,Trigger)</f>
        <v>#VALUE!</v>
      </c>
      <c r="AG40" s="33" t="e">
        <f>"STRIP."&amp;#REF!</f>
        <v>#REF!</v>
      </c>
      <c r="AH40" s="32" t="e">
        <f>IF(ISNA($AG40),0,_xll.RtGet("DTSIMI2",$AG40,AH$1))</f>
        <v>#VALUE!</v>
      </c>
      <c r="AI40" s="32" t="e">
        <f>IF(ISNA($AG40),0,_xll.RtGet("DTSIMI2",$AG40,AI$1))</f>
        <v>#VALUE!</v>
      </c>
      <c r="AJ40" s="1" t="e">
        <f>IF(ISNA($AG40),0,VLOOKUP($D40,Contribution!$B$4:$B$102,2,FALSE))</f>
        <v>#REF!</v>
      </c>
      <c r="AK40" s="1" t="e">
        <f>IF(ISNA($AG40),0,VLOOKUP($D40,Contribution!$B$4:$B$102,3,FALSE))</f>
        <v>#REF!</v>
      </c>
    </row>
    <row r="41" spans="1:37" x14ac:dyDescent="0.2">
      <c r="A41" s="4"/>
      <c r="B41" s="22" t="str">
        <f>IF(ISNA(C41),NA(),_xll.qlBondDescription(C41,Trigger))</f>
        <v>BTP 2029-11-01 5.25%</v>
      </c>
      <c r="C41" s="16" t="str">
        <v>IT0001278511</v>
      </c>
      <c r="D41" s="18">
        <f>IF(ISNA(C41),NA(),_xll.qlBondMaturityDate(C41,Trigger))</f>
        <v>47423</v>
      </c>
      <c r="E41" s="19">
        <f>IF(ISNA(C41),NA(),_xll.qlBondNextCouponRate(C41,BondSettlementDate))</f>
        <v>5.2499999999999998E-2</v>
      </c>
      <c r="F41" s="30">
        <f>IF(ISNA(C41),NA(),_xll.qlBondRedemptionAmount(C41,Trigger))</f>
        <v>100</v>
      </c>
      <c r="G41" s="17" t="str">
        <f t="shared" si="5"/>
        <v>IT0001278511_Quote</v>
      </c>
      <c r="H41" s="27" t="str">
        <f t="shared" si="6"/>
        <v>IT0001278511_Quote</v>
      </c>
      <c r="I41" s="16" t="str">
        <f>IF(LEFT(B41,3)="BTP",_xll.qlBTP2(,B41,D41,E41,F41,,,,Trigger),_xll.qlCCTEU(,B41,D41,E41,F41,,,,Trigger))</f>
        <v>obj_00421#0003</v>
      </c>
      <c r="J41" s="31" t="str">
        <f>_xll.qlBondHelper(,H41,I41)</f>
        <v>obj_0047d#0003</v>
      </c>
      <c r="K41" s="26" t="str">
        <f>_xll.qlBTP2(,B41,D41,E41,F41,,,,Trigger)</f>
        <v>obj_0041a#0003</v>
      </c>
      <c r="L41" s="26" t="b">
        <f>_xll.qlInstrumentSetPricingEngine(K41,BondPricingEngine)</f>
        <v>1</v>
      </c>
      <c r="M41" s="23">
        <f ca="1">_xll.qlBondCleanPrice(K41,AND(ISERROR(L41),ISERROR(N41)))</f>
        <v>124.89500434782893</v>
      </c>
      <c r="N41" s="27">
        <f ca="1">_xll.qlSimpleQuoteSetValue(G41,P41)</f>
        <v>0</v>
      </c>
      <c r="O41" s="29" t="e">
        <f>_xll.qlSimpleQuoteSetValue(#REF!,Q41)</f>
        <v>#VALUE!</v>
      </c>
      <c r="P41" s="27">
        <f t="shared" ca="1" si="9"/>
        <v>124.895</v>
      </c>
      <c r="Q41" s="23">
        <f t="shared" si="10"/>
        <v>0</v>
      </c>
      <c r="R41" s="24">
        <f t="shared" si="11"/>
        <v>0.62999999999999545</v>
      </c>
      <c r="S41" s="28" t="e">
        <f t="shared" si="7"/>
        <v>#VALUE!</v>
      </c>
      <c r="T41" s="23" t="e">
        <f t="shared" si="8"/>
        <v>#VALUE!</v>
      </c>
      <c r="U41" s="26" t="str">
        <f t="shared" si="12"/>
        <v>IT127851=TT</v>
      </c>
      <c r="V41" s="23">
        <v>124.58</v>
      </c>
      <c r="W41" s="23">
        <v>125.21</v>
      </c>
      <c r="X41" s="17" t="e">
        <f ca="1">_xll.MKV("EUR.PRICING.XLS_GOVIES."&amp;$C41,X$1)</f>
        <v>#NAME?</v>
      </c>
      <c r="Y41" s="17" t="e">
        <f ca="1">_xll.MKV("EUR.PRICING.XLS_GOVIES."&amp;$C41,Y$1)</f>
        <v>#NAME?</v>
      </c>
      <c r="Z41" s="25">
        <f ca="1">IF(ISNA(C41),NA(),_xll.qlBondYieldFromCleanPrice(C41,P41,YieldDayCounter,YieldCompounding,YieldFrequency))</f>
        <v>3.181596636637004E-2</v>
      </c>
      <c r="AA41" s="19" t="b">
        <v>1</v>
      </c>
      <c r="AB41" s="26" t="b">
        <f t="shared" si="13"/>
        <v>1</v>
      </c>
      <c r="AC41" s="24">
        <f ca="1">IF(ISNA(C41),NA(),M41-_xll.qlQuoteValue(H41))</f>
        <v>4.3478289342147036E-6</v>
      </c>
      <c r="AD41" s="11"/>
      <c r="AE41" s="1"/>
      <c r="AF41" s="33" t="e">
        <f>_xll.qlBondDescription(#REF!,Trigger)</f>
        <v>#VALUE!</v>
      </c>
      <c r="AG41" s="33" t="e">
        <f>"STRIP."&amp;#REF!</f>
        <v>#REF!</v>
      </c>
      <c r="AH41" s="32" t="e">
        <f>IF(ISNA($AG41),0,_xll.RtGet("DTSIMI2",$AG41,AH$1))</f>
        <v>#VALUE!</v>
      </c>
      <c r="AI41" s="32" t="e">
        <f>IF(ISNA($AG41),0,_xll.RtGet("DTSIMI2",$AG41,AI$1))</f>
        <v>#VALUE!</v>
      </c>
      <c r="AJ41" s="1" t="e">
        <f>IF(ISNA($AG41),0,VLOOKUP($D41,Contribution!$B$4:$B$102,2,FALSE))</f>
        <v>#REF!</v>
      </c>
      <c r="AK41" s="1" t="e">
        <f>IF(ISNA($AG41),0,VLOOKUP($D41,Contribution!$B$4:$B$102,3,FALSE))</f>
        <v>#REF!</v>
      </c>
    </row>
    <row r="42" spans="1:37" x14ac:dyDescent="0.2">
      <c r="A42" s="4"/>
      <c r="B42" s="22" t="str">
        <f>IF(ISNA(C42),NA(),_xll.qlBondDescription(C42,Trigger))</f>
        <v>BTP 2031-05-01 6%</v>
      </c>
      <c r="C42" s="16" t="str">
        <v>IT0001444378</v>
      </c>
      <c r="D42" s="18">
        <f>IF(ISNA(C42),NA(),_xll.qlBondMaturityDate(C42,Trigger))</f>
        <v>47969</v>
      </c>
      <c r="E42" s="19">
        <f>IF(ISNA(C42),NA(),_xll.qlBondNextCouponRate(C42,BondSettlementDate))</f>
        <v>0.06</v>
      </c>
      <c r="F42" s="30">
        <f>IF(ISNA(C42),NA(),_xll.qlBondRedemptionAmount(C42,Trigger))</f>
        <v>100</v>
      </c>
      <c r="G42" s="17" t="str">
        <f t="shared" si="5"/>
        <v>IT0001444378_Quote</v>
      </c>
      <c r="H42" s="27" t="str">
        <f t="shared" si="6"/>
        <v>IT0001444378_Quote</v>
      </c>
      <c r="I42" s="16" t="str">
        <f>IF(LEFT(B42,3)="BTP",_xll.qlBTP2(,B42,D42,E42,F42,,,,Trigger),_xll.qlCCTEU(,B42,D42,E42,F42,,,,Trigger))</f>
        <v>obj_003f0#0003</v>
      </c>
      <c r="J42" s="31" t="str">
        <f>_xll.qlBondHelper(,H42,I42)</f>
        <v>obj_00474#0003</v>
      </c>
      <c r="K42" s="26" t="str">
        <f>_xll.qlBTP2(,B42,D42,E42,F42,,,,Trigger)</f>
        <v>obj_00417#0003</v>
      </c>
      <c r="L42" s="26" t="b">
        <f>_xll.qlInstrumentSetPricingEngine(K42,BondPricingEngine)</f>
        <v>1</v>
      </c>
      <c r="M42" s="23">
        <f ca="1">_xll.qlBondCleanPrice(K42,AND(ISERROR(L42),ISERROR(N42)))</f>
        <v>135.55999782609456</v>
      </c>
      <c r="N42" s="27">
        <f ca="1">_xll.qlSimpleQuoteSetValue(G42,P42)</f>
        <v>0</v>
      </c>
      <c r="O42" s="29" t="e">
        <f>_xll.qlSimpleQuoteSetValue(#REF!,Q42)</f>
        <v>#VALUE!</v>
      </c>
      <c r="P42" s="27">
        <f t="shared" ca="1" si="9"/>
        <v>135.56</v>
      </c>
      <c r="Q42" s="23">
        <f t="shared" si="10"/>
        <v>0</v>
      </c>
      <c r="R42" s="24">
        <f t="shared" si="11"/>
        <v>0.51999999999998181</v>
      </c>
      <c r="S42" s="28">
        <f t="shared" ref="S42:S50" si="14">AH42-AJ42</f>
        <v>0</v>
      </c>
      <c r="T42" s="23">
        <f t="shared" ref="T42:T50" si="15">AI42-AK42</f>
        <v>0</v>
      </c>
      <c r="U42" s="26" t="str">
        <f t="shared" si="12"/>
        <v>IT144437=TT</v>
      </c>
      <c r="V42" s="23">
        <v>135.30000000000001</v>
      </c>
      <c r="W42" s="23">
        <v>135.82</v>
      </c>
      <c r="X42" s="17" t="e">
        <f ca="1">_xll.MKV("EUR.PRICING.XLS_GOVIES."&amp;$C42,X$1)</f>
        <v>#NAME?</v>
      </c>
      <c r="Y42" s="17" t="e">
        <f ca="1">_xll.MKV("EUR.PRICING.XLS_GOVIES."&amp;$C42,Y$1)</f>
        <v>#NAME?</v>
      </c>
      <c r="Z42" s="25">
        <f ca="1">IF(ISNA(C42),NA(),_xll.qlBondYieldFromCleanPrice(C42,P42,YieldDayCounter,YieldCompounding,YieldFrequency))</f>
        <v>3.2359767784550783E-2</v>
      </c>
      <c r="AA42" s="19" t="b">
        <v>1</v>
      </c>
      <c r="AB42" s="26" t="b">
        <f t="shared" si="13"/>
        <v>1</v>
      </c>
      <c r="AC42" s="24">
        <f ca="1">IF(ISNA(C42),NA(),M42-_xll.qlQuoteValue(H42))</f>
        <v>-2.1739054432146077E-6</v>
      </c>
      <c r="AD42" s="11"/>
      <c r="AE42" s="1"/>
      <c r="AF42" s="33"/>
      <c r="AG42" s="33"/>
      <c r="AH42" s="32"/>
      <c r="AI42" s="32"/>
      <c r="AJ42" s="1"/>
      <c r="AK42" s="1"/>
    </row>
    <row r="43" spans="1:37" x14ac:dyDescent="0.2">
      <c r="A43" s="4"/>
      <c r="B43" s="22" t="str">
        <f>IF(ISNA(C43),NA(),_xll.qlBondDescription(C43,Trigger))</f>
        <v>BTP 2033-02-01 5.75%</v>
      </c>
      <c r="C43" s="16" t="str">
        <v>IT0003256820</v>
      </c>
      <c r="D43" s="18">
        <f>IF(ISNA(C43),NA(),_xll.qlBondMaturityDate(C43,Trigger))</f>
        <v>48611</v>
      </c>
      <c r="E43" s="19">
        <f>IF(ISNA(C43),NA(),_xll.qlBondNextCouponRate(C43,BondSettlementDate))</f>
        <v>5.7500000000000002E-2</v>
      </c>
      <c r="F43" s="30">
        <f>IF(ISNA(C43),NA(),_xll.qlBondRedemptionAmount(C43,Trigger))</f>
        <v>100</v>
      </c>
      <c r="G43" s="17" t="str">
        <f t="shared" si="5"/>
        <v>IT0003256820_Quote</v>
      </c>
      <c r="H43" s="27" t="str">
        <f t="shared" si="6"/>
        <v>IT0003256820_Quote</v>
      </c>
      <c r="I43" s="16" t="str">
        <f>IF(LEFT(B43,3)="BTP",_xll.qlBTP2(,B43,D43,E43,F43,,,,Trigger),_xll.qlCCTEU(,B43,D43,E43,F43,,,,Trigger))</f>
        <v>obj_003fd#0003</v>
      </c>
      <c r="J43" s="31" t="str">
        <f>_xll.qlBondHelper(,H43,I43)</f>
        <v>obj_00476#0003</v>
      </c>
      <c r="K43" s="26" t="str">
        <f>_xll.qlBTP2(,B43,D43,E43,F43,,,,Trigger)</f>
        <v>obj_003f4#0003</v>
      </c>
      <c r="L43" s="26" t="b">
        <f>_xll.qlInstrumentSetPricingEngine(K43,BondPricingEngine)</f>
        <v>1</v>
      </c>
      <c r="M43" s="23">
        <f ca="1">_xll.qlBondCleanPrice(K43,AND(ISERROR(L43),ISERROR(N43)))</f>
        <v>132.97999999998865</v>
      </c>
      <c r="N43" s="27">
        <f ca="1">_xll.qlSimpleQuoteSetValue(G43,P43)</f>
        <v>0</v>
      </c>
      <c r="O43" s="29" t="e">
        <f>_xll.qlSimpleQuoteSetValue(#REF!,Q43)</f>
        <v>#VALUE!</v>
      </c>
      <c r="P43" s="27">
        <f t="shared" ca="1" si="9"/>
        <v>132.98000000000002</v>
      </c>
      <c r="Q43" s="23">
        <f t="shared" si="10"/>
        <v>0</v>
      </c>
      <c r="R43" s="24">
        <f t="shared" si="11"/>
        <v>0.59999999999999432</v>
      </c>
      <c r="S43" s="28">
        <f t="shared" si="14"/>
        <v>0</v>
      </c>
      <c r="T43" s="23">
        <f t="shared" si="15"/>
        <v>0</v>
      </c>
      <c r="U43" s="26" t="str">
        <f t="shared" si="12"/>
        <v>IT325682=TT</v>
      </c>
      <c r="V43" s="23">
        <v>132.68</v>
      </c>
      <c r="W43" s="23">
        <v>133.28</v>
      </c>
      <c r="X43" s="17" t="e">
        <f ca="1">_xll.MKV("EUR.PRICING.XLS_GOVIES."&amp;$C43,X$1)</f>
        <v>#NAME?</v>
      </c>
      <c r="Y43" s="17" t="e">
        <f ca="1">_xll.MKV("EUR.PRICING.XLS_GOVIES."&amp;$C43,Y$1)</f>
        <v>#NAME?</v>
      </c>
      <c r="Z43" s="25">
        <f ca="1">IF(ISNA(C43),NA(),_xll.qlBondYieldFromCleanPrice(C43,P43,YieldDayCounter,YieldCompounding,YieldFrequency))</f>
        <v>3.3546734609827406E-2</v>
      </c>
      <c r="AA43" s="19" t="b">
        <v>1</v>
      </c>
      <c r="AB43" s="26" t="b">
        <f t="shared" si="13"/>
        <v>1</v>
      </c>
      <c r="AC43" s="24">
        <f ca="1">IF(ISNA(C43),NA(),M43-_xll.qlQuoteValue(H43))</f>
        <v>-1.1368683772161603E-11</v>
      </c>
      <c r="AD43" s="11"/>
      <c r="AE43" s="1"/>
      <c r="AF43" s="33"/>
      <c r="AG43" s="33"/>
      <c r="AH43" s="32"/>
      <c r="AI43" s="32"/>
      <c r="AJ43" s="1"/>
      <c r="AK43" s="1"/>
    </row>
    <row r="44" spans="1:37" x14ac:dyDescent="0.2">
      <c r="A44" s="4"/>
      <c r="B44" s="22" t="str">
        <f>IF(ISNA(C44),NA(),_xll.qlBondDescription(C44,Trigger))</f>
        <v>BTP 2034-08-01 5%</v>
      </c>
      <c r="C44" s="16" t="str">
        <v>IT0003535157</v>
      </c>
      <c r="D44" s="18">
        <f>IF(ISNA(C44),NA(),_xll.qlBondMaturityDate(C44,Trigger))</f>
        <v>49157</v>
      </c>
      <c r="E44" s="19">
        <f>IF(ISNA(C44),NA(),_xll.qlBondNextCouponRate(C44,BondSettlementDate))</f>
        <v>0.05</v>
      </c>
      <c r="F44" s="30">
        <f>IF(ISNA(C44),NA(),_xll.qlBondRedemptionAmount(C44,Trigger))</f>
        <v>100</v>
      </c>
      <c r="G44" s="17" t="str">
        <f t="shared" si="5"/>
        <v>IT0003535157_Quote</v>
      </c>
      <c r="H44" s="27" t="str">
        <f t="shared" si="6"/>
        <v>IT0003535157_Quote</v>
      </c>
      <c r="I44" s="16" t="str">
        <f>IF(LEFT(B44,3)="BTP",_xll.qlBTP2(,B44,D44,E44,F44,,,,Trigger),_xll.qlCCTEU(,B44,D44,E44,F44,,,,Trigger))</f>
        <v>obj_003e1#0003</v>
      </c>
      <c r="J44" s="31" t="str">
        <f>_xll.qlBondHelper(,H44,I44)</f>
        <v>obj_00473#0003</v>
      </c>
      <c r="K44" s="26" t="str">
        <f>_xll.qlBTP2(,B44,D44,E44,F44,,,,Trigger)</f>
        <v>obj_00432#0003</v>
      </c>
      <c r="L44" s="26" t="b">
        <f>_xll.qlInstrumentSetPricingEngine(K44,BondPricingEngine)</f>
        <v>1</v>
      </c>
      <c r="M44" s="23">
        <f ca="1">_xll.qlBondCleanPrice(K44,AND(ISERROR(L44),ISERROR(N44)))</f>
        <v>122.2199965217398</v>
      </c>
      <c r="N44" s="27">
        <f ca="1">_xll.qlSimpleQuoteSetValue(G44,P44)</f>
        <v>0</v>
      </c>
      <c r="O44" s="29" t="e">
        <f>_xll.qlSimpleQuoteSetValue(#REF!,Q44)</f>
        <v>#VALUE!</v>
      </c>
      <c r="P44" s="27">
        <f t="shared" ca="1" si="9"/>
        <v>122.22</v>
      </c>
      <c r="Q44" s="23">
        <f t="shared" si="10"/>
        <v>0</v>
      </c>
      <c r="R44" s="24">
        <f t="shared" si="11"/>
        <v>0.56000000000000227</v>
      </c>
      <c r="S44" s="28">
        <f t="shared" si="14"/>
        <v>0</v>
      </c>
      <c r="T44" s="23">
        <f t="shared" si="15"/>
        <v>0</v>
      </c>
      <c r="U44" s="26" t="str">
        <f t="shared" si="12"/>
        <v>IT353515=TT</v>
      </c>
      <c r="V44" s="23">
        <v>121.94</v>
      </c>
      <c r="W44" s="23">
        <v>122.5</v>
      </c>
      <c r="X44" s="17" t="e">
        <f ca="1">_xll.MKV("EUR.PRICING.XLS_GOVIES."&amp;$C44,X$1)</f>
        <v>#NAME?</v>
      </c>
      <c r="Y44" s="17" t="e">
        <f ca="1">_xll.MKV("EUR.PRICING.XLS_GOVIES."&amp;$C44,Y$1)</f>
        <v>#NAME?</v>
      </c>
      <c r="Z44" s="25">
        <f ca="1">IF(ISNA(C44),NA(),_xll.qlBondYieldFromCleanPrice(C44,P44,YieldDayCounter,YieldCompounding,YieldFrequency))</f>
        <v>3.4711321084573865E-2</v>
      </c>
      <c r="AA44" s="19" t="b">
        <v>1</v>
      </c>
      <c r="AB44" s="26" t="b">
        <f t="shared" si="13"/>
        <v>1</v>
      </c>
      <c r="AC44" s="24">
        <f ca="1">IF(ISNA(C44),NA(),M44-_xll.qlQuoteValue(H44))</f>
        <v>-3.478260197198324E-6</v>
      </c>
      <c r="AD44" s="11"/>
      <c r="AE44" s="1"/>
      <c r="AF44" s="33"/>
      <c r="AG44" s="33"/>
      <c r="AH44" s="32"/>
      <c r="AI44" s="32"/>
      <c r="AJ44" s="1"/>
      <c r="AK44" s="1"/>
    </row>
    <row r="45" spans="1:37" x14ac:dyDescent="0.2">
      <c r="A45" s="4"/>
      <c r="B45" s="22" t="str">
        <f>IF(ISNA(C45),NA(),_xll.qlBondDescription(C45,Trigger))</f>
        <v>BTP 2037-02-01 4%</v>
      </c>
      <c r="C45" s="16" t="str">
        <v>IT0003934657</v>
      </c>
      <c r="D45" s="18">
        <f>IF(ISNA(C45),NA(),_xll.qlBondMaturityDate(C45,Trigger))</f>
        <v>50072</v>
      </c>
      <c r="E45" s="19">
        <f>IF(ISNA(C45),NA(),_xll.qlBondNextCouponRate(C45,BondSettlementDate))</f>
        <v>0.04</v>
      </c>
      <c r="F45" s="30">
        <f>IF(ISNA(C45),NA(),_xll.qlBondRedemptionAmount(C45,Trigger))</f>
        <v>100</v>
      </c>
      <c r="G45" s="17" t="str">
        <f t="shared" si="5"/>
        <v>IT0003934657_Quote</v>
      </c>
      <c r="H45" s="27" t="str">
        <f t="shared" si="6"/>
        <v>IT0003934657_Quote</v>
      </c>
      <c r="I45" s="16" t="str">
        <f>IF(LEFT(B45,3)="BTP",_xll.qlBTP2(,B45,D45,E45,F45,,,,Trigger),_xll.qlCCTEU(,B45,D45,E45,F45,,,,Trigger))</f>
        <v>obj_0041e#0003</v>
      </c>
      <c r="J45" s="31" t="str">
        <f>_xll.qlBondHelper(,H45,I45)</f>
        <v>obj_00475#0003</v>
      </c>
      <c r="K45" s="26" t="str">
        <f>_xll.qlBTP2(,B45,D45,E45,F45,,,,Trigger)</f>
        <v>obj_003e5#0003</v>
      </c>
      <c r="L45" s="26" t="b">
        <f>_xll.qlInstrumentSetPricingEngine(K45,BondPricingEngine)</f>
        <v>1</v>
      </c>
      <c r="M45" s="23">
        <f ca="1">_xll.qlBondCleanPrice(K45,AND(ISERROR(L45),ISERROR(N45)))</f>
        <v>106.99999521740095</v>
      </c>
      <c r="N45" s="27">
        <f ca="1">_xll.qlSimpleQuoteSetValue(G45,P45)</f>
        <v>0</v>
      </c>
      <c r="O45" s="29" t="e">
        <f>_xll.qlSimpleQuoteSetValue(#REF!,Q45)</f>
        <v>#VALUE!</v>
      </c>
      <c r="P45" s="27">
        <f t="shared" ca="1" si="9"/>
        <v>107</v>
      </c>
      <c r="Q45" s="23">
        <f t="shared" si="10"/>
        <v>0</v>
      </c>
      <c r="R45" s="24">
        <f t="shared" si="11"/>
        <v>0.59999999999999432</v>
      </c>
      <c r="S45" s="28">
        <f t="shared" si="14"/>
        <v>0</v>
      </c>
      <c r="T45" s="23">
        <f t="shared" si="15"/>
        <v>0</v>
      </c>
      <c r="U45" s="26" t="str">
        <f t="shared" si="12"/>
        <v>IT393465=TT</v>
      </c>
      <c r="V45" s="23">
        <v>106.7</v>
      </c>
      <c r="W45" s="23">
        <v>107.3</v>
      </c>
      <c r="X45" s="17" t="e">
        <f ca="1">_xll.MKV("EUR.PRICING.XLS_GOVIES."&amp;$C45,X$1)</f>
        <v>#NAME?</v>
      </c>
      <c r="Y45" s="17" t="e">
        <f ca="1">_xll.MKV("EUR.PRICING.XLS_GOVIES."&amp;$C45,Y$1)</f>
        <v>#NAME?</v>
      </c>
      <c r="Z45" s="25">
        <f ca="1">IF(ISNA(C45),NA(),_xll.qlBondYieldFromCleanPrice(C45,P45,YieldDayCounter,YieldCompounding,YieldFrequency))</f>
        <v>3.5737196667194826E-2</v>
      </c>
      <c r="AA45" s="19" t="b">
        <v>1</v>
      </c>
      <c r="AB45" s="26" t="b">
        <f t="shared" si="13"/>
        <v>1</v>
      </c>
      <c r="AC45" s="24">
        <f ca="1">IF(ISNA(C45),NA(),M45-_xll.qlQuoteValue(H45))</f>
        <v>-4.7825990492356141E-6</v>
      </c>
      <c r="AD45" s="11"/>
      <c r="AE45" s="1"/>
      <c r="AF45" s="33"/>
      <c r="AG45" s="33"/>
      <c r="AH45" s="32"/>
      <c r="AI45" s="32"/>
      <c r="AJ45" s="1"/>
      <c r="AK45" s="1"/>
    </row>
    <row r="46" spans="1:37" x14ac:dyDescent="0.2">
      <c r="A46" s="4"/>
      <c r="B46" s="22" t="str">
        <f>IF(ISNA(C46),NA(),_xll.qlBondDescription(C46,Trigger))</f>
        <v>BTP 2039-08-01 5%</v>
      </c>
      <c r="C46" s="16" t="str">
        <v>IT0004286966</v>
      </c>
      <c r="D46" s="18">
        <f>IF(ISNA(C46),NA(),_xll.qlBondMaturityDate(C46,Trigger))</f>
        <v>50983</v>
      </c>
      <c r="E46" s="19">
        <f>IF(ISNA(C46),NA(),_xll.qlBondNextCouponRate(C46,BondSettlementDate))</f>
        <v>0.05</v>
      </c>
      <c r="F46" s="30">
        <f>IF(ISNA(C46),NA(),_xll.qlBondRedemptionAmount(C46,Trigger))</f>
        <v>100</v>
      </c>
      <c r="G46" s="17" t="str">
        <f t="shared" si="5"/>
        <v>IT0004286966_Quote</v>
      </c>
      <c r="H46" s="27" t="str">
        <f t="shared" si="6"/>
        <v>IT0004286966_Quote</v>
      </c>
      <c r="I46" s="16" t="str">
        <f>IF(LEFT(B46,3)="BTP",_xll.qlBTP2(,B46,D46,E46,F46,,,,Trigger),_xll.qlCCTEU(,B46,D46,E46,F46,,,,Trigger))</f>
        <v>obj_003dc#0003</v>
      </c>
      <c r="J46" s="31" t="str">
        <f>_xll.qlBondHelper(,H46,I46)</f>
        <v>obj_00467#0003</v>
      </c>
      <c r="K46" s="26" t="str">
        <f>_xll.qlBTP2(,B46,D46,E46,F46,,,,Trigger)</f>
        <v>obj_003df#0003</v>
      </c>
      <c r="L46" s="26" t="b">
        <f>_xll.qlInstrumentSetPricingEngine(K46,BondPricingEngine)</f>
        <v>1</v>
      </c>
      <c r="M46" s="23">
        <f ca="1">_xll.qlBondCleanPrice(K46,AND(ISERROR(L46),ISERROR(N46)))</f>
        <v>121.0549965216691</v>
      </c>
      <c r="N46" s="27">
        <f ca="1">_xll.qlSimpleQuoteSetValue(G46,P46)</f>
        <v>0</v>
      </c>
      <c r="O46" s="29" t="e">
        <f>_xll.qlSimpleQuoteSetValue(#REF!,Q46)</f>
        <v>#VALUE!</v>
      </c>
      <c r="P46" s="27">
        <f t="shared" ca="1" si="9"/>
        <v>121.05500000000001</v>
      </c>
      <c r="Q46" s="23">
        <f t="shared" si="10"/>
        <v>0</v>
      </c>
      <c r="R46" s="24">
        <f t="shared" si="11"/>
        <v>0.57000000000000739</v>
      </c>
      <c r="S46" s="28">
        <f t="shared" si="14"/>
        <v>0</v>
      </c>
      <c r="T46" s="23">
        <f t="shared" si="15"/>
        <v>0</v>
      </c>
      <c r="U46" s="26" t="str">
        <f t="shared" si="12"/>
        <v>IT428696=TT</v>
      </c>
      <c r="V46" s="23">
        <v>120.77</v>
      </c>
      <c r="W46" s="23">
        <v>121.34</v>
      </c>
      <c r="X46" s="17" t="e">
        <f ca="1">_xll.MKV("EUR.PRICING.XLS_GOVIES."&amp;$C46,X$1)</f>
        <v>#NAME?</v>
      </c>
      <c r="Y46" s="17" t="e">
        <f ca="1">_xll.MKV("EUR.PRICING.XLS_GOVIES."&amp;$C46,Y$1)</f>
        <v>#NAME?</v>
      </c>
      <c r="Z46" s="25">
        <f ca="1">IF(ISNA(C46),NA(),_xll.qlBondYieldFromCleanPrice(C46,P46,YieldDayCounter,YieldCompounding,YieldFrequency))</f>
        <v>3.7291186042129998E-2</v>
      </c>
      <c r="AA46" s="19" t="b">
        <v>1</v>
      </c>
      <c r="AB46" s="26" t="b">
        <f t="shared" si="13"/>
        <v>1</v>
      </c>
      <c r="AC46" s="24">
        <f ca="1">IF(ISNA(C46),NA(),M46-_xll.qlQuoteValue(H46))</f>
        <v>-3.4783309104113869E-6</v>
      </c>
      <c r="AD46" s="11"/>
      <c r="AE46" s="1"/>
      <c r="AF46" s="33"/>
      <c r="AG46" s="33"/>
      <c r="AH46" s="32"/>
      <c r="AI46" s="32"/>
      <c r="AJ46" s="1"/>
      <c r="AK46" s="1"/>
    </row>
    <row r="47" spans="1:37" x14ac:dyDescent="0.2">
      <c r="A47" s="4"/>
      <c r="B47" s="22" t="str">
        <f>IF(ISNA(C47),NA(),_xll.qlBondDescription(C47,Trigger))</f>
        <v>BTP 2040-09-01 5%</v>
      </c>
      <c r="C47" s="16" t="str">
        <v>IT0004532559</v>
      </c>
      <c r="D47" s="18">
        <f>IF(ISNA(C47),NA(),_xll.qlBondMaturityDate(C47,Trigger))</f>
        <v>51380</v>
      </c>
      <c r="E47" s="19">
        <f>IF(ISNA(C47),NA(),_xll.qlBondNextCouponRate(C47,BondSettlementDate))</f>
        <v>0.05</v>
      </c>
      <c r="F47" s="30">
        <f>IF(ISNA(C47),NA(),_xll.qlBondRedemptionAmount(C47,Trigger))</f>
        <v>100</v>
      </c>
      <c r="G47" s="17" t="str">
        <f t="shared" si="5"/>
        <v>IT0004532559_Quote</v>
      </c>
      <c r="H47" s="27" t="str">
        <f t="shared" si="6"/>
        <v>IT0004532559_Quote</v>
      </c>
      <c r="I47" s="16" t="str">
        <f>IF(LEFT(B47,3)="BTP",_xll.qlBTP2(,B47,D47,E47,F47,,,,Trigger),_xll.qlCCTEU(,B47,D47,E47,F47,,,,Trigger))</f>
        <v>obj_00436#0003</v>
      </c>
      <c r="J47" s="31" t="str">
        <f>_xll.qlBondHelper(,H47,I47)</f>
        <v>obj_00444#0003</v>
      </c>
      <c r="K47" s="26" t="str">
        <f>_xll.qlBTP2(,B47,D47,E47,F47,,,,Trigger)</f>
        <v>obj_0041d#0003</v>
      </c>
      <c r="L47" s="26" t="b">
        <f>_xll.qlInstrumentSetPricingEngine(K47,BondPricingEngine)</f>
        <v>1</v>
      </c>
      <c r="M47" s="23">
        <f ca="1">_xll.qlBondCleanPrice(K47,AND(ISERROR(L47),ISERROR(N47)))</f>
        <v>120.289995580108</v>
      </c>
      <c r="N47" s="27">
        <f ca="1">_xll.qlSimpleQuoteSetValue(G47,P47)</f>
        <v>0</v>
      </c>
      <c r="O47" s="29" t="e">
        <f>_xll.qlSimpleQuoteSetValue(#REF!,Q47)</f>
        <v>#VALUE!</v>
      </c>
      <c r="P47" s="27">
        <f t="shared" ca="1" si="9"/>
        <v>120.28999999999999</v>
      </c>
      <c r="Q47" s="23">
        <f t="shared" si="10"/>
        <v>0</v>
      </c>
      <c r="R47" s="24">
        <f t="shared" si="11"/>
        <v>0.44000000000001194</v>
      </c>
      <c r="S47" s="28">
        <f t="shared" si="14"/>
        <v>0</v>
      </c>
      <c r="T47" s="23">
        <f t="shared" si="15"/>
        <v>0</v>
      </c>
      <c r="U47" s="26" t="str">
        <f t="shared" si="12"/>
        <v>IT453255=TT</v>
      </c>
      <c r="V47" s="23">
        <v>120.07</v>
      </c>
      <c r="W47" s="23">
        <v>120.51</v>
      </c>
      <c r="X47" s="17" t="e">
        <f ca="1">_xll.MKV("EUR.PRICING.XLS_GOVIES."&amp;$C47,X$1)</f>
        <v>#NAME?</v>
      </c>
      <c r="Y47" s="17" t="e">
        <f ca="1">_xll.MKV("EUR.PRICING.XLS_GOVIES."&amp;$C47,Y$1)</f>
        <v>#NAME?</v>
      </c>
      <c r="Z47" s="25">
        <f ca="1">IF(ISNA(C47),NA(),_xll.qlBondYieldFromCleanPrice(C47,P47,YieldDayCounter,YieldCompounding,YieldFrequency))</f>
        <v>3.800231415778399E-2</v>
      </c>
      <c r="AA47" s="19" t="b">
        <v>1</v>
      </c>
      <c r="AB47" s="26" t="b">
        <f t="shared" si="13"/>
        <v>1</v>
      </c>
      <c r="AC47" s="24">
        <f ca="1">IF(ISNA(C47),NA(),M47-_xll.qlQuoteValue(H47))</f>
        <v>-4.4198919937343817E-6</v>
      </c>
      <c r="AD47" s="11"/>
      <c r="AE47" s="1"/>
      <c r="AF47" s="33"/>
      <c r="AG47" s="33"/>
      <c r="AH47" s="32"/>
      <c r="AI47" s="32"/>
      <c r="AJ47" s="1"/>
      <c r="AK47" s="1"/>
    </row>
    <row r="48" spans="1:37" hidden="1" outlineLevel="1" x14ac:dyDescent="0.2">
      <c r="A48" s="4"/>
      <c r="B48" s="22" t="str">
        <f>IF(ISNA(C48),NA(),_xll.qlBondDescription(C48,Trigger))</f>
        <v>BTP 2044-09-01 4.75%</v>
      </c>
      <c r="C48" s="16" t="str">
        <v>IT0004923998</v>
      </c>
      <c r="D48" s="18">
        <f>IF(ISNA(C48),NA(),_xll.qlBondMaturityDate(C48,Trigger))</f>
        <v>52841</v>
      </c>
      <c r="E48" s="19">
        <f>IF(ISNA(C48),NA(),_xll.qlBondNextCouponRate(C48,BondSettlementDate))</f>
        <v>4.7500000000000001E-2</v>
      </c>
      <c r="F48" s="30">
        <f>IF(ISNA(C48),NA(),_xll.qlBondRedemptionAmount(C48,Trigger))</f>
        <v>100</v>
      </c>
      <c r="G48" s="17" t="str">
        <f t="shared" si="5"/>
        <v>IT0004923998_Quote</v>
      </c>
      <c r="H48" s="27" t="str">
        <f t="shared" si="6"/>
        <v>IT0004923998_Quote</v>
      </c>
      <c r="I48" s="16" t="str">
        <f>IF(LEFT(B48,3)="BTP",_xll.qlBTP2(,B48,D48,E48,F48,,,,Trigger),_xll.qlCCTEU(,B48,D48,E48,F48,,,,Trigger))</f>
        <v>obj_003e2#0003</v>
      </c>
      <c r="J48" s="31" t="str">
        <f>_xll.qlBondHelper(,H48,I48)</f>
        <v>obj_00477#0003</v>
      </c>
      <c r="K48" s="26" t="str">
        <f>_xll.qlBTP2(,B48,D48,E48,F48,,,,Trigger)</f>
        <v>obj_003db#0003</v>
      </c>
      <c r="L48" s="26" t="b">
        <f>_xll.qlInstrumentSetPricingEngine(K48,BondPricingEngine)</f>
        <v>1</v>
      </c>
      <c r="M48" s="23">
        <f ca="1">_xll.qlBondCleanPrice(K48,AND(ISERROR(L48),ISERROR(N48)))</f>
        <v>113.55924201186261</v>
      </c>
      <c r="N48" s="27">
        <f ca="1">_xll.qlSimpleQuoteSetValue(G48,P48)</f>
        <v>0</v>
      </c>
      <c r="O48" s="29" t="e">
        <f>_xll.qlSimpleQuoteSetValue(#REF!,Q48)</f>
        <v>#VALUE!</v>
      </c>
      <c r="P48" s="27">
        <f t="shared" ca="1" si="9"/>
        <v>122.345</v>
      </c>
      <c r="Q48" s="23">
        <f t="shared" si="10"/>
        <v>0</v>
      </c>
      <c r="R48" s="24">
        <f t="shared" si="11"/>
        <v>0.15000000000000568</v>
      </c>
      <c r="S48" s="28">
        <f t="shared" si="14"/>
        <v>0</v>
      </c>
      <c r="T48" s="23">
        <f t="shared" si="15"/>
        <v>0</v>
      </c>
      <c r="U48" s="26" t="str">
        <f t="shared" si="12"/>
        <v>IT492399=TT</v>
      </c>
      <c r="V48" s="23">
        <v>122.27</v>
      </c>
      <c r="W48" s="23">
        <v>122.42</v>
      </c>
      <c r="X48" s="17" t="e">
        <f ca="1">_xll.MKV("EUR.PRICING.XLS_GOVIES."&amp;$C48,X$1)</f>
        <v>#NAME?</v>
      </c>
      <c r="Y48" s="17" t="e">
        <f ca="1">_xll.MKV("EUR.PRICING.XLS_GOVIES."&amp;$C48,Y$1)</f>
        <v>#NAME?</v>
      </c>
      <c r="Z48" s="25">
        <f ca="1">IF(ISNA(C48),NA(),_xll.qlBondYieldFromCleanPrice(C48,P48,YieldDayCounter,YieldCompounding,YieldFrequency))</f>
        <v>3.5637504468004538E-2</v>
      </c>
      <c r="AA48" s="19" t="b">
        <v>0</v>
      </c>
      <c r="AB48" s="26" t="b">
        <f t="shared" si="13"/>
        <v>0</v>
      </c>
      <c r="AC48" s="24">
        <f ca="1">IF(ISNA(C48),NA(),M48-_xll.qlQuoteValue(H48))</f>
        <v>-8.7857579881373908</v>
      </c>
      <c r="AD48" s="11"/>
      <c r="AE48" s="1"/>
      <c r="AF48" s="33"/>
      <c r="AG48" s="33"/>
      <c r="AH48" s="32"/>
      <c r="AI48" s="32"/>
      <c r="AJ48" s="1"/>
      <c r="AK48" s="1"/>
    </row>
    <row r="49" spans="1:37" hidden="1" outlineLevel="1" x14ac:dyDescent="0.2">
      <c r="A49" s="4"/>
      <c r="B49" s="22" t="e">
        <f>IF(ISNA(C49),NA(),_xll.qlBondDescription(C49,Trigger))</f>
        <v>#N/A</v>
      </c>
      <c r="C49" s="16" t="e">
        <v>#N/A</v>
      </c>
      <c r="D49" s="18" t="e">
        <f>IF(ISNA(C49),NA(),_xll.qlBondMaturityDate(C49,Trigger))</f>
        <v>#N/A</v>
      </c>
      <c r="E49" s="19" t="e">
        <f>IF(ISNA(C49),NA(),_xll.qlBondNextCouponRate(C49,BondSettlementDate))</f>
        <v>#N/A</v>
      </c>
      <c r="F49" s="30" t="e">
        <f>IF(ISNA(C49),NA(),_xll.qlBondRedemptionAmount(C49,Trigger))</f>
        <v>#N/A</v>
      </c>
      <c r="G49" s="17" t="e">
        <f t="shared" si="5"/>
        <v>#N/A</v>
      </c>
      <c r="H49" s="27" t="e">
        <f t="shared" si="6"/>
        <v>#N/A</v>
      </c>
      <c r="I49" s="16" t="e">
        <f>IF(LEFT(B49,3)="BTP",_xll.qlBTP2(,B49,D49,E49,F49,,,,Trigger),_xll.qlCCTEU(,B49,D49,E49,F49,,,,Trigger))</f>
        <v>#N/A</v>
      </c>
      <c r="J49" s="31" t="e">
        <f>_xll.qlBondHelper(,H49,I49)</f>
        <v>#VALUE!</v>
      </c>
      <c r="K49" s="26" t="e">
        <f>_xll.qlBTP2(,B49,D49,E49,F49,,,,Trigger)</f>
        <v>#VALUE!</v>
      </c>
      <c r="L49" s="26" t="e">
        <f>_xll.qlInstrumentSetPricingEngine(K49,BondPricingEngine)</f>
        <v>#VALUE!</v>
      </c>
      <c r="M49" s="23" t="e">
        <f>_xll.qlBondCleanPrice(K49,AND(ISERROR(L49),ISERROR(N49)))</f>
        <v>#VALUE!</v>
      </c>
      <c r="N49" s="27" t="e">
        <f>_xll.qlSimpleQuoteSetValue(G49,P49)</f>
        <v>#VALUE!</v>
      </c>
      <c r="O49" s="29" t="e">
        <f>_xll.qlSimpleQuoteSetValue(#REF!,Q49)</f>
        <v>#VALUE!</v>
      </c>
      <c r="P49" s="27" t="e">
        <f t="shared" si="9"/>
        <v>#N/A</v>
      </c>
      <c r="Q49" s="23" t="e">
        <f t="shared" si="10"/>
        <v>#N/A</v>
      </c>
      <c r="R49" s="24" t="e">
        <f t="shared" si="11"/>
        <v>#N/A</v>
      </c>
      <c r="S49" s="28">
        <f t="shared" si="14"/>
        <v>0</v>
      </c>
      <c r="T49" s="23">
        <f t="shared" si="15"/>
        <v>0</v>
      </c>
      <c r="U49" s="26" t="e">
        <f t="shared" si="12"/>
        <v>#N/A</v>
      </c>
      <c r="V49" s="23">
        <v>122.27</v>
      </c>
      <c r="W49" s="23">
        <v>122.42</v>
      </c>
      <c r="X49" s="17" t="e">
        <f ca="1">_xll.MKV("EUR.PRICING.XLS_GOVIES."&amp;$C49,X$1)</f>
        <v>#NAME?</v>
      </c>
      <c r="Y49" s="17" t="e">
        <f ca="1">_xll.MKV("EUR.PRICING.XLS_GOVIES."&amp;$C49,Y$1)</f>
        <v>#NAME?</v>
      </c>
      <c r="Z49" s="25" t="e">
        <f>IF(ISNA(C49),NA(),_xll.qlBondYieldFromCleanPrice(C49,P49,YieldDayCounter,YieldCompounding,YieldFrequency))</f>
        <v>#N/A</v>
      </c>
      <c r="AA49" s="19" t="b">
        <v>0</v>
      </c>
      <c r="AB49" s="26" t="b">
        <f t="shared" si="13"/>
        <v>0</v>
      </c>
      <c r="AC49" s="24" t="e">
        <f>IF(ISNA(C49),NA(),M49-_xll.qlQuoteValue(H49))</f>
        <v>#N/A</v>
      </c>
      <c r="AD49" s="11"/>
      <c r="AE49" s="1"/>
      <c r="AF49" s="33"/>
      <c r="AG49" s="33"/>
      <c r="AH49" s="32"/>
      <c r="AI49" s="32"/>
      <c r="AJ49" s="1"/>
      <c r="AK49" s="1"/>
    </row>
    <row r="50" spans="1:37" hidden="1" outlineLevel="1" x14ac:dyDescent="0.2">
      <c r="A50" s="4"/>
      <c r="B50" s="22" t="e">
        <f>IF(ISNA(C50),NA(),_xll.qlBondDescription(C50,Trigger))</f>
        <v>#N/A</v>
      </c>
      <c r="C50" s="16" t="e">
        <v>#N/A</v>
      </c>
      <c r="D50" s="18" t="e">
        <f>IF(ISNA(C50),NA(),_xll.qlBondMaturityDate(C50,Trigger))</f>
        <v>#N/A</v>
      </c>
      <c r="E50" s="19" t="e">
        <f>IF(ISNA(C50),NA(),_xll.qlBondNextCouponRate(C50,BondSettlementDate))</f>
        <v>#N/A</v>
      </c>
      <c r="F50" s="30" t="e">
        <f>IF(ISNA(C50),NA(),_xll.qlBondRedemptionAmount(C50,Trigger))</f>
        <v>#N/A</v>
      </c>
      <c r="G50" s="17" t="e">
        <f t="shared" si="5"/>
        <v>#N/A</v>
      </c>
      <c r="H50" s="27" t="e">
        <f t="shared" si="6"/>
        <v>#N/A</v>
      </c>
      <c r="I50" s="16" t="e">
        <f>IF(LEFT(B50,3)="BTP",_xll.qlBTP2(,B50,D50,E50,F50,,,,Trigger),_xll.qlCCTEU(,B50,D50,E50,F50,,,,Trigger))</f>
        <v>#N/A</v>
      </c>
      <c r="J50" s="31" t="e">
        <f>_xll.qlBondHelper(,H50,I50)</f>
        <v>#VALUE!</v>
      </c>
      <c r="K50" s="26" t="e">
        <f>_xll.qlBTP2(,B50,D50,E50,F50,,,,Trigger)</f>
        <v>#VALUE!</v>
      </c>
      <c r="L50" s="26" t="e">
        <f>_xll.qlInstrumentSetPricingEngine(K50,BondPricingEngine)</f>
        <v>#VALUE!</v>
      </c>
      <c r="M50" s="23" t="e">
        <f>_xll.qlBondCleanPrice(K50,AND(ISERROR(L50),ISERROR(N50)))</f>
        <v>#VALUE!</v>
      </c>
      <c r="N50" s="27" t="e">
        <f>_xll.qlSimpleQuoteSetValue(G50,P50)</f>
        <v>#VALUE!</v>
      </c>
      <c r="O50" s="29" t="e">
        <f>_xll.qlSimpleQuoteSetValue(#REF!,Q50)</f>
        <v>#VALUE!</v>
      </c>
      <c r="P50" s="27" t="e">
        <f t="shared" si="9"/>
        <v>#N/A</v>
      </c>
      <c r="Q50" s="23" t="e">
        <f t="shared" si="10"/>
        <v>#N/A</v>
      </c>
      <c r="R50" s="24" t="e">
        <f t="shared" si="11"/>
        <v>#N/A</v>
      </c>
      <c r="S50" s="28">
        <f t="shared" si="14"/>
        <v>0</v>
      </c>
      <c r="T50" s="23">
        <f t="shared" si="15"/>
        <v>0</v>
      </c>
      <c r="U50" s="26" t="e">
        <f t="shared" si="12"/>
        <v>#N/A</v>
      </c>
      <c r="V50" s="23">
        <v>122.27</v>
      </c>
      <c r="W50" s="23">
        <v>122.42</v>
      </c>
      <c r="X50" s="17" t="e">
        <f ca="1">_xll.MKV("EUR.PRICING.XLS_GOVIES."&amp;$C50,X$1)</f>
        <v>#NAME?</v>
      </c>
      <c r="Y50" s="17" t="e">
        <f ca="1">_xll.MKV("EUR.PRICING.XLS_GOVIES."&amp;$C50,Y$1)</f>
        <v>#NAME?</v>
      </c>
      <c r="Z50" s="25" t="e">
        <f>IF(ISNA(C50),NA(),_xll.qlBondYieldFromCleanPrice(C50,P50,YieldDayCounter,YieldCompounding,YieldFrequency))</f>
        <v>#N/A</v>
      </c>
      <c r="AA50" s="19" t="b">
        <v>0</v>
      </c>
      <c r="AB50" s="26" t="b">
        <f t="shared" si="13"/>
        <v>0</v>
      </c>
      <c r="AC50" s="24" t="e">
        <f>IF(ISNA(C50),NA(),M50-_xll.qlQuoteValue(H50))</f>
        <v>#N/A</v>
      </c>
      <c r="AD50" s="11"/>
      <c r="AE50" s="1"/>
      <c r="AF50" s="33"/>
      <c r="AG50" s="33"/>
      <c r="AH50" s="32"/>
      <c r="AI50" s="32"/>
      <c r="AJ50" s="1"/>
      <c r="AK50" s="1"/>
    </row>
    <row r="51" spans="1:37" ht="12" collapsed="1" thickBot="1" x14ac:dyDescent="0.25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7"/>
      <c r="R51" s="7"/>
      <c r="S51" s="7"/>
      <c r="T51" s="7"/>
      <c r="U51" s="6"/>
      <c r="V51" s="6"/>
      <c r="W51" s="6"/>
      <c r="X51" s="6"/>
      <c r="Y51" s="6"/>
      <c r="Z51" s="6"/>
      <c r="AA51" s="6"/>
      <c r="AB51" s="6"/>
      <c r="AC51" s="6"/>
      <c r="AD51" s="12"/>
    </row>
    <row r="52" spans="1:37" x14ac:dyDescent="0.2">
      <c r="Z52" s="8"/>
    </row>
    <row r="53" spans="1:37" x14ac:dyDescent="0.2">
      <c r="X53" s="9"/>
    </row>
    <row r="54" spans="1:37" x14ac:dyDescent="0.2">
      <c r="X54" s="9"/>
    </row>
    <row r="55" spans="1:37" x14ac:dyDescent="0.2">
      <c r="X55" s="9"/>
    </row>
    <row r="56" spans="1:37" x14ac:dyDescent="0.2">
      <c r="X56" s="9"/>
    </row>
    <row r="57" spans="1:37" x14ac:dyDescent="0.2">
      <c r="X57" s="9"/>
    </row>
    <row r="58" spans="1:37" x14ac:dyDescent="0.2">
      <c r="X58" s="9"/>
    </row>
    <row r="59" spans="1:37" x14ac:dyDescent="0.2">
      <c r="X59" s="9"/>
    </row>
    <row r="60" spans="1:37" x14ac:dyDescent="0.2">
      <c r="X60" s="9"/>
    </row>
    <row r="61" spans="1:37" x14ac:dyDescent="0.2">
      <c r="X61" s="9"/>
    </row>
    <row r="62" spans="1:37" x14ac:dyDescent="0.2">
      <c r="X62" s="9"/>
    </row>
    <row r="63" spans="1:37" x14ac:dyDescent="0.2">
      <c r="X63" s="9"/>
    </row>
    <row r="64" spans="1:37" x14ac:dyDescent="0.2">
      <c r="X64" s="9"/>
    </row>
    <row r="65" spans="24:24" x14ac:dyDescent="0.2">
      <c r="X65" s="9"/>
    </row>
    <row r="66" spans="24:24" x14ac:dyDescent="0.2">
      <c r="X66" s="9"/>
    </row>
    <row r="67" spans="24:24" x14ac:dyDescent="0.2">
      <c r="X67" s="9"/>
    </row>
    <row r="68" spans="24:24" x14ac:dyDescent="0.2">
      <c r="X68" s="9"/>
    </row>
    <row r="69" spans="24:24" x14ac:dyDescent="0.2">
      <c r="X69" s="9"/>
    </row>
    <row r="70" spans="24:24" x14ac:dyDescent="0.2">
      <c r="X70" s="9"/>
    </row>
    <row r="71" spans="24:24" x14ac:dyDescent="0.2">
      <c r="X71" s="9"/>
    </row>
    <row r="72" spans="24:24" x14ac:dyDescent="0.2">
      <c r="X72" s="9"/>
    </row>
    <row r="73" spans="24:24" x14ac:dyDescent="0.2">
      <c r="X73" s="9"/>
    </row>
    <row r="74" spans="24:24" x14ac:dyDescent="0.2">
      <c r="X74" s="9"/>
    </row>
    <row r="75" spans="24:24" x14ac:dyDescent="0.2">
      <c r="X75" s="9"/>
    </row>
  </sheetData>
  <phoneticPr fontId="2" type="noConversion"/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R151"/>
  <sheetViews>
    <sheetView workbookViewId="0">
      <selection activeCell="B2" sqref="B2"/>
    </sheetView>
  </sheetViews>
  <sheetFormatPr defaultRowHeight="11.25" outlineLevelCol="1" x14ac:dyDescent="0.2"/>
  <cols>
    <col min="1" max="1" width="21.42578125" style="33" bestFit="1" customWidth="1"/>
    <col min="2" max="2" width="17.28515625" style="33" bestFit="1" customWidth="1"/>
    <col min="3" max="3" width="9" style="33" bestFit="1" customWidth="1"/>
    <col min="4" max="4" width="9" style="33" hidden="1" customWidth="1" outlineLevel="1"/>
    <col min="5" max="6" width="17.28515625" style="33" hidden="1" customWidth="1" outlineLevel="1"/>
    <col min="7" max="7" width="8" style="33" hidden="1" customWidth="1" outlineLevel="1"/>
    <col min="8" max="8" width="6" style="33" hidden="1" customWidth="1" outlineLevel="1"/>
    <col min="9" max="10" width="7" style="33" hidden="1" customWidth="1" outlineLevel="1"/>
    <col min="11" max="11" width="21.42578125" style="33" hidden="1" customWidth="1" outlineLevel="1"/>
    <col min="12" max="12" width="8" style="33" hidden="1" customWidth="1" outlineLevel="1"/>
    <col min="13" max="13" width="10" style="33" hidden="1" customWidth="1" outlineLevel="1"/>
    <col min="14" max="14" width="6" style="33" hidden="1" customWidth="1" outlineLevel="1"/>
    <col min="15" max="15" width="8" style="33" hidden="1" customWidth="1" outlineLevel="1"/>
    <col min="16" max="16" width="7" style="33" hidden="1" customWidth="1" outlineLevel="1"/>
    <col min="17" max="17" width="6" style="33" hidden="1" customWidth="1" outlineLevel="1"/>
    <col min="18" max="18" width="7" style="33" hidden="1" customWidth="1" outlineLevel="1"/>
    <col min="19" max="19" width="5" style="33" hidden="1" customWidth="1" outlineLevel="1"/>
    <col min="20" max="24" width="8" style="33" hidden="1" customWidth="1" outlineLevel="1"/>
    <col min="25" max="27" width="7" style="33" hidden="1" customWidth="1" outlineLevel="1"/>
    <col min="28" max="30" width="8" style="33" hidden="1" customWidth="1" outlineLevel="1"/>
    <col min="31" max="31" width="9" style="33" bestFit="1" customWidth="1" collapsed="1"/>
    <col min="32" max="32" width="9" style="33" bestFit="1" customWidth="1"/>
    <col min="33" max="33" width="7" style="33" bestFit="1" customWidth="1"/>
    <col min="34" max="34" width="15.140625" style="33" hidden="1" customWidth="1" outlineLevel="1"/>
    <col min="35" max="35" width="7.85546875" style="33" customWidth="1" collapsed="1"/>
    <col min="36" max="36" width="9.140625" style="33"/>
    <col min="37" max="38" width="11" style="33" bestFit="1" customWidth="1"/>
    <col min="39" max="39" width="12.42578125" style="33" bestFit="1" customWidth="1"/>
    <col min="40" max="40" width="16.5703125" style="33" bestFit="1" customWidth="1"/>
    <col min="41" max="41" width="18.5703125" style="33" bestFit="1" customWidth="1"/>
    <col min="42" max="42" width="68" style="33" bestFit="1" customWidth="1"/>
    <col min="43" max="43" width="12" style="33" bestFit="1" customWidth="1"/>
    <col min="44" max="44" width="9.140625" style="33"/>
    <col min="45" max="45" width="11" style="33" bestFit="1" customWidth="1"/>
    <col min="46" max="16384" width="9.140625" style="33"/>
  </cols>
  <sheetData>
    <row r="1" spans="1:41" x14ac:dyDescent="0.2">
      <c r="A1" s="88" t="str">
        <f>VLOOKUP(ReferenceBondDescription,BtpCurve!B2:C47,2,FALSE)</f>
        <v>IT0004532559</v>
      </c>
      <c r="B1" s="88" t="s">
        <v>28</v>
      </c>
      <c r="C1" s="88"/>
      <c r="E1" s="33" t="s">
        <v>118</v>
      </c>
      <c r="F1" s="33">
        <f>_xll.qlBondAccruedAmount(ReferenceBond)</f>
        <v>0.67679558011048968</v>
      </c>
      <c r="V1" s="62">
        <f ca="1">SUM(V4:V67)-ReferenceBondAccruedAmount</f>
        <v>120.28999999999749</v>
      </c>
      <c r="W1" s="63"/>
      <c r="X1" s="65">
        <f ca="1">SUM(X4:X67)-ReferenceBondAccruedAmount</f>
        <v>120.28999999999749</v>
      </c>
      <c r="Y1" s="70"/>
      <c r="Z1" s="63"/>
      <c r="AA1" s="71"/>
      <c r="AB1" s="62">
        <f ca="1">SUMPRODUCT(_xll.ohPack(AB4:AB67),_xll.ohPack($C$4:$C$67))/100-ReferenceBondAccruedAmount</f>
        <v>120.290000012113</v>
      </c>
      <c r="AC1" s="63"/>
      <c r="AD1" s="65">
        <f ca="1">SUMPRODUCT(_xll.ohPack(AD4:AD67),_xll.ohPack($C$4:$C$67))/100-ReferenceBondAccruedAmount</f>
        <v>120.290000012113</v>
      </c>
      <c r="AE1" s="62">
        <f ca="1">SUM(_xll.ohPack(AE4:AE67))-ReferenceBondAccruedAmount</f>
        <v>120.29000001211301</v>
      </c>
      <c r="AF1" s="64">
        <f ca="1">SUMPRODUCT(_xll.ohPack(AF4:AF67),_xll.ohPack($C$4:$C$67))/100-ReferenceBondAccruedAmount</f>
        <v>120.290000012113</v>
      </c>
      <c r="AG1" s="71"/>
      <c r="AI1" s="88" t="s">
        <v>116</v>
      </c>
      <c r="AK1" s="33" t="s">
        <v>116</v>
      </c>
      <c r="AL1" s="33" t="s">
        <v>0</v>
      </c>
      <c r="AM1" s="33" t="s">
        <v>1</v>
      </c>
    </row>
    <row r="2" spans="1:41" x14ac:dyDescent="0.2">
      <c r="A2" s="33" t="s">
        <v>509</v>
      </c>
      <c r="B2" s="95">
        <f ca="1">_xll.qlQuoteValue(ReferenceBondISIN&amp;"_Quote",PriceTrigger)</f>
        <v>120.28999999999999</v>
      </c>
      <c r="C2" s="95"/>
      <c r="V2" s="66">
        <f ca="1">V1-ReferenceBondPrice</f>
        <v>-2.5011104298755527E-12</v>
      </c>
      <c r="W2" s="47"/>
      <c r="X2" s="67">
        <f ca="1">X1-ReferenceBondPrice</f>
        <v>-2.5011104298755527E-12</v>
      </c>
      <c r="Y2" s="72"/>
      <c r="Z2" s="47"/>
      <c r="AA2" s="49"/>
      <c r="AB2" s="66">
        <f ca="1">AB1-ReferenceBondPrice</f>
        <v>1.2113005709579738E-8</v>
      </c>
      <c r="AC2" s="47"/>
      <c r="AD2" s="67">
        <f ca="1">AD1-ReferenceBondPrice</f>
        <v>1.2113005709579738E-8</v>
      </c>
      <c r="AE2" s="87">
        <f ca="1">AE1-ReferenceBondPrice</f>
        <v>1.2113019920434454E-8</v>
      </c>
      <c r="AF2" s="77">
        <f ca="1">AF1-ReferenceBondPrice</f>
        <v>1.2113005709579738E-8</v>
      </c>
      <c r="AG2" s="49"/>
    </row>
    <row r="3" spans="1:41" ht="33.75" x14ac:dyDescent="0.2">
      <c r="A3" s="35" t="s">
        <v>29</v>
      </c>
      <c r="B3" s="36" t="str">
        <f t="array" ref="B3:U67">_xll.qlBondFlowAnalysis(ReferenceBondISIN,BondSettlementDate)</f>
        <v>Payment Date</v>
      </c>
      <c r="C3" s="36" t="str">
        <v>Amount</v>
      </c>
      <c r="D3" s="35" t="str">
        <v>Nominal</v>
      </c>
      <c r="E3" s="36" t="str">
        <v>Accrual Start Date</v>
      </c>
      <c r="F3" s="36" t="str">
        <v>Accrual End Date</v>
      </c>
      <c r="G3" s="36" t="str">
        <v>Accrual Days</v>
      </c>
      <c r="H3" s="36" t="str">
        <v>Index</v>
      </c>
      <c r="I3" s="36" t="str">
        <v>Fixing Days</v>
      </c>
      <c r="J3" s="36" t="str">
        <v>Fixing Dates</v>
      </c>
      <c r="K3" s="36" t="str">
        <v>Day Counter</v>
      </c>
      <c r="L3" s="36" t="str">
        <v>Accrual Period</v>
      </c>
      <c r="M3" s="36" t="str">
        <v>Effective Rate</v>
      </c>
      <c r="N3" s="36" t="str">
        <v>Floor</v>
      </c>
      <c r="O3" s="36" t="str">
        <v>Gearing</v>
      </c>
      <c r="P3" s="36" t="str">
        <v>Index Fixing</v>
      </c>
      <c r="Q3" s="36" t="str">
        <v>Conv. Adj.</v>
      </c>
      <c r="R3" s="36" t="str">
        <v>Spread</v>
      </c>
      <c r="S3" s="36" t="str">
        <v>Cap</v>
      </c>
      <c r="T3" s="36" t="str">
        <v>Call Digital Payoff</v>
      </c>
      <c r="U3" s="36" t="str">
        <v>Put Digital Payoff</v>
      </c>
      <c r="V3" s="35" t="s">
        <v>101</v>
      </c>
      <c r="W3" s="36" t="s">
        <v>7</v>
      </c>
      <c r="X3" s="37" t="s">
        <v>102</v>
      </c>
      <c r="Y3" s="35" t="s">
        <v>6</v>
      </c>
      <c r="Z3" s="36" t="s">
        <v>7</v>
      </c>
      <c r="AA3" s="37" t="s">
        <v>10</v>
      </c>
      <c r="AB3" s="35" t="s">
        <v>8</v>
      </c>
      <c r="AC3" s="36" t="s">
        <v>7</v>
      </c>
      <c r="AD3" s="37" t="s">
        <v>9</v>
      </c>
      <c r="AE3" s="35" t="s">
        <v>101</v>
      </c>
      <c r="AF3" s="36" t="s">
        <v>8</v>
      </c>
      <c r="AG3" s="37" t="s">
        <v>6</v>
      </c>
      <c r="AH3" s="35" t="s">
        <v>11</v>
      </c>
    </row>
    <row r="4" spans="1:41" ht="12.75" x14ac:dyDescent="0.2">
      <c r="A4" s="48">
        <f ca="1">_xll.qlYieldTSDiscount(BtpCurve,B4,,PriceTrigger)</f>
        <v>0.99876927188857079</v>
      </c>
      <c r="B4" s="38">
        <v>42065</v>
      </c>
      <c r="C4" s="39">
        <v>2.4999999999999911</v>
      </c>
      <c r="D4" s="60">
        <v>100</v>
      </c>
      <c r="E4" s="38">
        <v>41883</v>
      </c>
      <c r="F4" s="38">
        <v>42064</v>
      </c>
      <c r="G4" s="40">
        <v>181</v>
      </c>
      <c r="H4" s="41" t="str">
        <v>#N/A</v>
      </c>
      <c r="I4" s="40" t="str">
        <v>#N/A</v>
      </c>
      <c r="J4" s="38" t="str">
        <v>#N/A</v>
      </c>
      <c r="K4" s="40" t="str">
        <v>Actual/Actual (ISMA)</v>
      </c>
      <c r="L4" s="42">
        <v>0.5</v>
      </c>
      <c r="M4" s="43">
        <v>0.05</v>
      </c>
      <c r="N4" s="43" t="str">
        <v>#N/A</v>
      </c>
      <c r="O4" s="44" t="str">
        <v>#N/A</v>
      </c>
      <c r="P4" s="43" t="str">
        <v>#N/A</v>
      </c>
      <c r="Q4" s="43" t="str">
        <v>#N/A</v>
      </c>
      <c r="R4" s="43" t="str">
        <v>#N/A</v>
      </c>
      <c r="S4" s="43" t="str">
        <v>#N/A</v>
      </c>
      <c r="T4" s="43" t="str">
        <v>#N/A</v>
      </c>
      <c r="U4" s="41" t="str">
        <v>#N/A</v>
      </c>
      <c r="V4" s="66">
        <f ca="1">IF(ISERROR(A4),0,A4*C4)</f>
        <v>2.496923179721418</v>
      </c>
      <c r="W4" s="45"/>
      <c r="X4" s="67">
        <f t="shared" ref="X4:X67" ca="1" si="0">IF(ISBLANK(W4),V4,W4)</f>
        <v>2.496923179721418</v>
      </c>
      <c r="Y4" s="73">
        <f ca="1">IF(ISERROR(A4),NA(),_xll.qlBondYieldFromCleanPrice(AH4,X4/C4*100,YieldDayCounter,YieldCompounding,YieldFrequency))</f>
        <v>3.4110500198218457E-3</v>
      </c>
      <c r="Z4" s="46"/>
      <c r="AA4" s="74">
        <f ca="1">IF(ISBLANK(Z4),Y4,Z4)</f>
        <v>3.4110500198218457E-3</v>
      </c>
      <c r="AB4" s="66">
        <f ca="1">IF(ISERROR(A4),IF(ISNUMBER(C4),0,NA()),_xll.qlBondCleanPriceFromYield(AH4,AA4,YieldDayCounter,YieldCompounding,YieldFrequency))</f>
        <v>99.876927189342965</v>
      </c>
      <c r="AC4" s="45"/>
      <c r="AD4" s="67">
        <f t="shared" ref="AD4:AD67" ca="1" si="1">IF(ISBLANK(AC4),AB4,AC4)</f>
        <v>99.876927189342965</v>
      </c>
      <c r="AE4" s="66">
        <f ca="1">IF(ISERROR(A4),0,AF4/100*C4)</f>
        <v>2.4969231797335651</v>
      </c>
      <c r="AF4" s="77">
        <f ca="1">IF(ISERROR(A4),IF(ISNUMBER(C4),0,NA()),AD4)</f>
        <v>99.876927189342965</v>
      </c>
      <c r="AG4" s="74">
        <f ca="1">IF(ISERROR(A4),NA(),_xll.qlBondYieldFromCleanPrice(AH4,AF4,YieldDayCounter,YieldCompounding,YieldFrequency))</f>
        <v>3.4110500063234293E-3</v>
      </c>
      <c r="AH4" s="78" t="str">
        <f>_xll.qlZeroCouponBond(,,"EUR",3,"target",$C4,$B4,"f",100)</f>
        <v>obj_0046a#0003</v>
      </c>
      <c r="AJ4" s="32"/>
      <c r="AK4" s="32"/>
      <c r="AL4" s="108"/>
      <c r="AM4" s="107"/>
      <c r="AN4" s="107"/>
      <c r="AO4" s="107"/>
    </row>
    <row r="5" spans="1:41" ht="12.75" x14ac:dyDescent="0.2">
      <c r="A5" s="48">
        <f ca="1">_xll.qlYieldTSDiscount(BtpCurve,B5,,PriceTrigger)</f>
        <v>0.99583302760950732</v>
      </c>
      <c r="B5" s="38">
        <v>42248</v>
      </c>
      <c r="C5" s="39">
        <v>2.4999999999999911</v>
      </c>
      <c r="D5" s="60">
        <v>100</v>
      </c>
      <c r="E5" s="38">
        <v>42064</v>
      </c>
      <c r="F5" s="38">
        <v>42248</v>
      </c>
      <c r="G5" s="40">
        <v>184</v>
      </c>
      <c r="H5" s="41" t="str">
        <v>#N/A</v>
      </c>
      <c r="I5" s="40" t="str">
        <v>#N/A</v>
      </c>
      <c r="J5" s="38" t="str">
        <v>#N/A</v>
      </c>
      <c r="K5" s="40" t="str">
        <v>Actual/Actual (ISMA)</v>
      </c>
      <c r="L5" s="42">
        <v>0.5</v>
      </c>
      <c r="M5" s="43">
        <v>0.05</v>
      </c>
      <c r="N5" s="43" t="str">
        <v>#N/A</v>
      </c>
      <c r="O5" s="44" t="str">
        <v>#N/A</v>
      </c>
      <c r="P5" s="43" t="str">
        <v>#N/A</v>
      </c>
      <c r="Q5" s="43" t="str">
        <v>#N/A</v>
      </c>
      <c r="R5" s="43" t="str">
        <v>#N/A</v>
      </c>
      <c r="S5" s="43" t="str">
        <v>#N/A</v>
      </c>
      <c r="T5" s="43" t="str">
        <v>#N/A</v>
      </c>
      <c r="U5" s="41" t="str">
        <v>#N/A</v>
      </c>
      <c r="V5" s="66">
        <f t="shared" ref="V5:V67" ca="1" si="2">IF(ISERROR(A5),0,A5*C5)</f>
        <v>2.4895825690237596</v>
      </c>
      <c r="W5" s="45"/>
      <c r="X5" s="67">
        <f t="shared" ca="1" si="0"/>
        <v>2.4895825690237596</v>
      </c>
      <c r="Y5" s="73">
        <f ca="1">IF(ISERROR(A5),NA(),_xll.qlBondYieldFromCleanPrice(AH5,X5/C5*100,YieldDayCounter,YieldCompounding,YieldFrequency))</f>
        <v>4.8502088484539164E-3</v>
      </c>
      <c r="Z5" s="46"/>
      <c r="AA5" s="74">
        <f t="shared" ref="AA5:AA67" ca="1" si="3">IF(ISBLANK(Z5),Y5,Z5)</f>
        <v>4.8502088484539164E-3</v>
      </c>
      <c r="AB5" s="66">
        <f ca="1">IF(ISERROR(A5),IF(ISNUMBER(C5),0,NA()),_xll.qlBondCleanPriceFromYield(AH5,AA5,YieldDayCounter,YieldCompounding,YieldFrequency))</f>
        <v>99.583302763551643</v>
      </c>
      <c r="AC5" s="45"/>
      <c r="AD5" s="67">
        <f t="shared" ca="1" si="1"/>
        <v>99.583302763551643</v>
      </c>
      <c r="AE5" s="66">
        <f t="shared" ref="AE5:AE36" ca="1" si="4">AF5/100*C5</f>
        <v>2.4895825690887823</v>
      </c>
      <c r="AF5" s="77">
        <f t="shared" ref="AF5:AF67" ca="1" si="5">IF(ISERROR(A5),IF(ISNUMBER(C5),0,NA()),AD5)</f>
        <v>99.583302763551643</v>
      </c>
      <c r="AG5" s="74">
        <f ca="1">IF(ISERROR(A5),NA(),_xll.qlBondYieldFromCleanPrice(AH5,AF5,YieldDayCounter,YieldCompounding,YieldFrequency))</f>
        <v>4.8502088180426344E-3</v>
      </c>
      <c r="AH5" s="78" t="str">
        <f>_xll.qlZeroCouponBond(,,"EUR",3,"target",$C5,$B5,"f",100)</f>
        <v>obj_00455#0003</v>
      </c>
      <c r="AJ5" s="32"/>
      <c r="AK5" s="32"/>
      <c r="AL5" s="108"/>
      <c r="AM5" s="107"/>
      <c r="AN5" s="107"/>
      <c r="AO5" s="107"/>
    </row>
    <row r="6" spans="1:41" ht="12.75" x14ac:dyDescent="0.2">
      <c r="A6" s="48">
        <f ca="1">_xll.qlYieldTSDiscount(BtpCurve,B6,,PriceTrigger)</f>
        <v>0.99170828812191669</v>
      </c>
      <c r="B6" s="38">
        <v>42430</v>
      </c>
      <c r="C6" s="39">
        <v>2.4999999999999911</v>
      </c>
      <c r="D6" s="60">
        <v>100</v>
      </c>
      <c r="E6" s="38">
        <v>42248</v>
      </c>
      <c r="F6" s="38">
        <v>42430</v>
      </c>
      <c r="G6" s="40">
        <v>182</v>
      </c>
      <c r="H6" s="41" t="str">
        <v>#N/A</v>
      </c>
      <c r="I6" s="40" t="str">
        <v>#N/A</v>
      </c>
      <c r="J6" s="38" t="str">
        <v>#N/A</v>
      </c>
      <c r="K6" s="40" t="str">
        <v>Actual/Actual (ISMA)</v>
      </c>
      <c r="L6" s="42">
        <v>0.5</v>
      </c>
      <c r="M6" s="43">
        <v>0.05</v>
      </c>
      <c r="N6" s="43" t="str">
        <v>#N/A</v>
      </c>
      <c r="O6" s="44" t="str">
        <v>#N/A</v>
      </c>
      <c r="P6" s="43" t="str">
        <v>#N/A</v>
      </c>
      <c r="Q6" s="43" t="str">
        <v>#N/A</v>
      </c>
      <c r="R6" s="43" t="str">
        <v>#N/A</v>
      </c>
      <c r="S6" s="43" t="str">
        <v>#N/A</v>
      </c>
      <c r="T6" s="43" t="str">
        <v>#N/A</v>
      </c>
      <c r="U6" s="41" t="str">
        <v>#N/A</v>
      </c>
      <c r="V6" s="66">
        <f t="shared" ca="1" si="2"/>
        <v>2.479270720304783</v>
      </c>
      <c r="W6" s="45"/>
      <c r="X6" s="67">
        <f t="shared" ca="1" si="0"/>
        <v>2.479270720304783</v>
      </c>
      <c r="Y6" s="73">
        <f ca="1">IF(ISERROR(A6),NA(),_xll.qlBondYieldFromCleanPrice(AH6,X6/C6*100,YieldDayCounter,YieldCompounding,YieldFrequency))</f>
        <v>6.1460112049808646E-3</v>
      </c>
      <c r="Z6" s="46"/>
      <c r="AA6" s="74">
        <f t="shared" ca="1" si="3"/>
        <v>6.1460112049808646E-3</v>
      </c>
      <c r="AB6" s="66">
        <f ca="1">IF(ISERROR(A6),IF(ISNUMBER(C6),0,NA()),_xll.qlBondCleanPriceFromYield(AH6,AA6,YieldDayCounter,YieldCompounding,YieldFrequency))</f>
        <v>99.170828814741682</v>
      </c>
      <c r="AC6" s="45"/>
      <c r="AD6" s="67">
        <f t="shared" ca="1" si="1"/>
        <v>99.170828814741682</v>
      </c>
      <c r="AE6" s="66">
        <f t="shared" ca="1" si="4"/>
        <v>2.4792707203685334</v>
      </c>
      <c r="AF6" s="77">
        <f t="shared" ca="1" si="5"/>
        <v>99.170828814741682</v>
      </c>
      <c r="AG6" s="74">
        <f ca="1">IF(ISERROR(A6),NA(),_xll.qlBondYieldFromCleanPrice(AH6,AF6,YieldDayCounter,YieldCompounding,YieldFrequency))</f>
        <v>6.1460111859422441E-3</v>
      </c>
      <c r="AH6" s="78" t="str">
        <f>_xll.qlZeroCouponBond(,,"EUR",3,"target",$C6,$B6,"f",100)</f>
        <v>obj_0044e#0003</v>
      </c>
      <c r="AJ6" s="32"/>
      <c r="AK6" s="32"/>
      <c r="AL6" s="108"/>
      <c r="AM6" s="107"/>
      <c r="AN6" s="107"/>
      <c r="AO6" s="107"/>
    </row>
    <row r="7" spans="1:41" ht="12.75" x14ac:dyDescent="0.2">
      <c r="A7" s="48">
        <f ca="1">_xll.qlYieldTSDiscount(BtpCurve,B7,,PriceTrigger)</f>
        <v>0.98496884404923346</v>
      </c>
      <c r="B7" s="38">
        <v>42614</v>
      </c>
      <c r="C7" s="39">
        <v>2.4999999999999911</v>
      </c>
      <c r="D7" s="60">
        <v>100</v>
      </c>
      <c r="E7" s="38">
        <v>42430</v>
      </c>
      <c r="F7" s="38">
        <v>42614</v>
      </c>
      <c r="G7" s="40">
        <v>184</v>
      </c>
      <c r="H7" s="41" t="str">
        <v>#N/A</v>
      </c>
      <c r="I7" s="40" t="str">
        <v>#N/A</v>
      </c>
      <c r="J7" s="38" t="str">
        <v>#N/A</v>
      </c>
      <c r="K7" s="40" t="str">
        <v>Actual/Actual (ISMA)</v>
      </c>
      <c r="L7" s="42">
        <v>0.5</v>
      </c>
      <c r="M7" s="43">
        <v>0.05</v>
      </c>
      <c r="N7" s="43" t="str">
        <v>#N/A</v>
      </c>
      <c r="O7" s="44" t="str">
        <v>#N/A</v>
      </c>
      <c r="P7" s="43" t="str">
        <v>#N/A</v>
      </c>
      <c r="Q7" s="43" t="str">
        <v>#N/A</v>
      </c>
      <c r="R7" s="43" t="str">
        <v>#N/A</v>
      </c>
      <c r="S7" s="43" t="str">
        <v>#N/A</v>
      </c>
      <c r="T7" s="43" t="str">
        <v>#N/A</v>
      </c>
      <c r="U7" s="41" t="str">
        <v>#N/A</v>
      </c>
      <c r="V7" s="66">
        <f t="shared" ca="1" si="2"/>
        <v>2.4624221101230748</v>
      </c>
      <c r="W7" s="45"/>
      <c r="X7" s="67">
        <f t="shared" ca="1" si="0"/>
        <v>2.4624221101230748</v>
      </c>
      <c r="Y7" s="73">
        <f ca="1">IF(ISERROR(A7),NA(),_xll.qlBondYieldFromCleanPrice(AH7,X7/C7*100,YieldDayCounter,YieldCompounding,YieldFrequency))</f>
        <v>8.1625793609826428E-3</v>
      </c>
      <c r="Z7" s="46"/>
      <c r="AA7" s="74">
        <f t="shared" ca="1" si="3"/>
        <v>8.1625793609826428E-3</v>
      </c>
      <c r="AB7" s="66">
        <f ca="1">IF(ISERROR(A7),IF(ISNUMBER(C7),0,NA()),_xll.qlBondCleanPriceFromYield(AH7,AA7,YieldDayCounter,YieldCompounding,YieldFrequency))</f>
        <v>98.496884407930935</v>
      </c>
      <c r="AC7" s="45"/>
      <c r="AD7" s="67">
        <f t="shared" ca="1" si="1"/>
        <v>98.496884407930935</v>
      </c>
      <c r="AE7" s="66">
        <f t="shared" ca="1" si="4"/>
        <v>2.4624221101982648</v>
      </c>
      <c r="AF7" s="77">
        <f t="shared" ca="1" si="5"/>
        <v>98.496884407930935</v>
      </c>
      <c r="AG7" s="74">
        <f ca="1">IF(ISERROR(A7),NA(),_xll.qlBondYieldFromCleanPrice(AH7,AF7,YieldDayCounter,YieldCompounding,YieldFrequency))</f>
        <v>8.162579344458798E-3</v>
      </c>
      <c r="AH7" s="78" t="str">
        <f>_xll.qlZeroCouponBond(,,"EUR",3,"target",$C7,$B7,"f",100)</f>
        <v>obj_00472#0003</v>
      </c>
      <c r="AJ7" s="32"/>
      <c r="AK7" s="32"/>
      <c r="AL7" s="108"/>
      <c r="AM7" s="107"/>
      <c r="AN7" s="107"/>
      <c r="AO7" s="107"/>
    </row>
    <row r="8" spans="1:41" ht="12.75" x14ac:dyDescent="0.2">
      <c r="A8" s="48">
        <f ca="1">_xll.qlYieldTSDiscount(BtpCurve,B8,,PriceTrigger)</f>
        <v>0.9788425627348839</v>
      </c>
      <c r="B8" s="38">
        <v>42795</v>
      </c>
      <c r="C8" s="39">
        <v>2.4999999999999911</v>
      </c>
      <c r="D8" s="60">
        <v>100</v>
      </c>
      <c r="E8" s="38">
        <v>42614</v>
      </c>
      <c r="F8" s="38">
        <v>42795</v>
      </c>
      <c r="G8" s="40">
        <v>181</v>
      </c>
      <c r="H8" s="41" t="str">
        <v>#N/A</v>
      </c>
      <c r="I8" s="40" t="str">
        <v>#N/A</v>
      </c>
      <c r="J8" s="38" t="str">
        <v>#N/A</v>
      </c>
      <c r="K8" s="40" t="str">
        <v>Actual/Actual (ISMA)</v>
      </c>
      <c r="L8" s="42">
        <v>0.5</v>
      </c>
      <c r="M8" s="43">
        <v>0.05</v>
      </c>
      <c r="N8" s="43" t="str">
        <v>#N/A</v>
      </c>
      <c r="O8" s="44" t="str">
        <v>#N/A</v>
      </c>
      <c r="P8" s="43" t="str">
        <v>#N/A</v>
      </c>
      <c r="Q8" s="43" t="str">
        <v>#N/A</v>
      </c>
      <c r="R8" s="43" t="str">
        <v>#N/A</v>
      </c>
      <c r="S8" s="43" t="str">
        <v>#N/A</v>
      </c>
      <c r="T8" s="43" t="str">
        <v>#N/A</v>
      </c>
      <c r="U8" s="41" t="str">
        <v>#N/A</v>
      </c>
      <c r="V8" s="66">
        <f t="shared" ca="1" si="2"/>
        <v>2.447106406837201</v>
      </c>
      <c r="W8" s="45"/>
      <c r="X8" s="67">
        <f t="shared" ca="1" si="0"/>
        <v>2.447106406837201</v>
      </c>
      <c r="Y8" s="73">
        <f ca="1">IF(ISERROR(A8),NA(),_xll.qlBondYieldFromCleanPrice(AH8,X8/C8*100,YieldDayCounter,YieldCompounding,YieldFrequency))</f>
        <v>9.1066384599997312E-3</v>
      </c>
      <c r="Z8" s="46"/>
      <c r="AA8" s="74">
        <f t="shared" ca="1" si="3"/>
        <v>9.1066384599997312E-3</v>
      </c>
      <c r="AB8" s="66">
        <f ca="1">IF(ISERROR(A8),IF(ISNUMBER(C8),0,NA()),_xll.qlBondCleanPriceFromYield(AH8,AA8,YieldDayCounter,YieldCompounding,YieldFrequency))</f>
        <v>97.884256276967221</v>
      </c>
      <c r="AC8" s="45"/>
      <c r="AD8" s="67">
        <f t="shared" ca="1" si="1"/>
        <v>97.884256276967221</v>
      </c>
      <c r="AE8" s="66">
        <f t="shared" ca="1" si="4"/>
        <v>2.4471064069241719</v>
      </c>
      <c r="AF8" s="77">
        <f t="shared" ca="1" si="5"/>
        <v>97.884256276967221</v>
      </c>
      <c r="AG8" s="74">
        <f ca="1">IF(ISERROR(A8),NA(),_xll.qlBondYieldFromCleanPrice(AH8,AF8,YieldDayCounter,YieldCompounding,YieldFrequency))</f>
        <v>9.1066384447959503E-3</v>
      </c>
      <c r="AH8" s="78" t="str">
        <f>_xll.qlZeroCouponBond(,,"EUR",3,"target",$C8,$B8,"f",100)</f>
        <v>obj_0043b#0003</v>
      </c>
      <c r="AJ8" s="32"/>
      <c r="AK8" s="32"/>
      <c r="AL8" s="108"/>
      <c r="AM8" s="107"/>
      <c r="AN8" s="107"/>
      <c r="AO8" s="107"/>
    </row>
    <row r="9" spans="1:41" ht="12.75" x14ac:dyDescent="0.2">
      <c r="A9" s="48">
        <f ca="1">_xll.qlYieldTSDiscount(BtpCurve,B9,,PriceTrigger)</f>
        <v>0.9723938198031723</v>
      </c>
      <c r="B9" s="38">
        <v>42979</v>
      </c>
      <c r="C9" s="39">
        <v>2.4999999999999911</v>
      </c>
      <c r="D9" s="60">
        <v>100</v>
      </c>
      <c r="E9" s="38">
        <v>42795</v>
      </c>
      <c r="F9" s="38">
        <v>42979</v>
      </c>
      <c r="G9" s="40">
        <v>184</v>
      </c>
      <c r="H9" s="41" t="str">
        <v>#N/A</v>
      </c>
      <c r="I9" s="40" t="str">
        <v>#N/A</v>
      </c>
      <c r="J9" s="38" t="str">
        <v>#N/A</v>
      </c>
      <c r="K9" s="40" t="str">
        <v>Actual/Actual (ISMA)</v>
      </c>
      <c r="L9" s="42">
        <v>0.5</v>
      </c>
      <c r="M9" s="43">
        <v>0.05</v>
      </c>
      <c r="N9" s="43" t="str">
        <v>#N/A</v>
      </c>
      <c r="O9" s="44" t="str">
        <v>#N/A</v>
      </c>
      <c r="P9" s="43" t="str">
        <v>#N/A</v>
      </c>
      <c r="Q9" s="43" t="str">
        <v>#N/A</v>
      </c>
      <c r="R9" s="43" t="str">
        <v>#N/A</v>
      </c>
      <c r="S9" s="43" t="str">
        <v>#N/A</v>
      </c>
      <c r="T9" s="43" t="str">
        <v>#N/A</v>
      </c>
      <c r="U9" s="41" t="str">
        <v>#N/A</v>
      </c>
      <c r="V9" s="66">
        <f t="shared" ca="1" si="2"/>
        <v>2.4309845495079223</v>
      </c>
      <c r="W9" s="45"/>
      <c r="X9" s="67">
        <f t="shared" ca="1" si="0"/>
        <v>2.4309845495079223</v>
      </c>
      <c r="Y9" s="73">
        <f ca="1">IF(ISERROR(A9),NA(),_xll.qlBondYieldFromCleanPrice(AH9,X9/C9*100,YieldDayCounter,YieldCompounding,YieldFrequency))</f>
        <v>9.8259058800356479E-3</v>
      </c>
      <c r="Z9" s="46"/>
      <c r="AA9" s="74">
        <f t="shared" ca="1" si="3"/>
        <v>9.8259058800356479E-3</v>
      </c>
      <c r="AB9" s="66">
        <f ca="1">IF(ISERROR(A9),IF(ISNUMBER(C9),0,NA()),_xll.qlBondCleanPriceFromYield(AH9,AA9,YieldDayCounter,YieldCompounding,YieldFrequency))</f>
        <v>97.239381983471361</v>
      </c>
      <c r="AC9" s="45"/>
      <c r="AD9" s="67">
        <f t="shared" ca="1" si="1"/>
        <v>97.239381983471361</v>
      </c>
      <c r="AE9" s="66">
        <f t="shared" ca="1" si="4"/>
        <v>2.4309845495867752</v>
      </c>
      <c r="AF9" s="77">
        <f t="shared" ca="1" si="5"/>
        <v>97.239381983471361</v>
      </c>
      <c r="AG9" s="74">
        <f ca="1">IF(ISERROR(A9),NA(),_xll.qlBondYieldFromCleanPrice(AH9,AF9,YieldDayCounter,YieldCompounding,YieldFrequency))</f>
        <v>9.8259058685950876E-3</v>
      </c>
      <c r="AH9" s="78" t="str">
        <f>_xll.qlZeroCouponBond(,,"EUR",3,"target",$C9,$B9,"f",100)</f>
        <v>obj_00439#0003</v>
      </c>
      <c r="AJ9" s="32"/>
      <c r="AK9" s="32"/>
      <c r="AL9" s="108"/>
      <c r="AM9" s="107"/>
      <c r="AN9" s="107"/>
      <c r="AO9" s="107"/>
    </row>
    <row r="10" spans="1:41" ht="12.75" x14ac:dyDescent="0.2">
      <c r="A10" s="48">
        <f ca="1">_xll.qlYieldTSDiscount(BtpCurve,B10,,PriceTrigger)</f>
        <v>0.96450570067257169</v>
      </c>
      <c r="B10" s="38">
        <v>43160</v>
      </c>
      <c r="C10" s="39">
        <v>2.4999999999999911</v>
      </c>
      <c r="D10" s="60">
        <v>100</v>
      </c>
      <c r="E10" s="38">
        <v>42979</v>
      </c>
      <c r="F10" s="38">
        <v>43160</v>
      </c>
      <c r="G10" s="40">
        <v>181</v>
      </c>
      <c r="H10" s="41" t="str">
        <v>#N/A</v>
      </c>
      <c r="I10" s="40" t="str">
        <v>#N/A</v>
      </c>
      <c r="J10" s="38" t="str">
        <v>#N/A</v>
      </c>
      <c r="K10" s="40" t="str">
        <v>Actual/Actual (ISMA)</v>
      </c>
      <c r="L10" s="42">
        <v>0.5</v>
      </c>
      <c r="M10" s="43">
        <v>0.05</v>
      </c>
      <c r="N10" s="43" t="str">
        <v>#N/A</v>
      </c>
      <c r="O10" s="44" t="str">
        <v>#N/A</v>
      </c>
      <c r="P10" s="43" t="str">
        <v>#N/A</v>
      </c>
      <c r="Q10" s="43" t="str">
        <v>#N/A</v>
      </c>
      <c r="R10" s="43" t="str">
        <v>#N/A</v>
      </c>
      <c r="S10" s="43" t="str">
        <v>#N/A</v>
      </c>
      <c r="T10" s="43" t="str">
        <v>#N/A</v>
      </c>
      <c r="U10" s="41" t="str">
        <v>#N/A</v>
      </c>
      <c r="V10" s="66">
        <f t="shared" ca="1" si="2"/>
        <v>2.4112642516814207</v>
      </c>
      <c r="W10" s="45"/>
      <c r="X10" s="67">
        <f t="shared" ca="1" si="0"/>
        <v>2.4112642516814207</v>
      </c>
      <c r="Y10" s="73">
        <f ca="1">IF(ISERROR(A10),NA(),_xll.qlBondYieldFromCleanPrice(AH10,X10/C10*100,YieldDayCounter,YieldCompounding,YieldFrequency))</f>
        <v>1.0817413188441281E-2</v>
      </c>
      <c r="Z10" s="46"/>
      <c r="AA10" s="74">
        <f t="shared" ca="1" si="3"/>
        <v>1.0817413188441281E-2</v>
      </c>
      <c r="AB10" s="66">
        <f ca="1">IF(ISERROR(A10),IF(ISNUMBER(C10),0,NA()),_xll.qlBondCleanPriceFromYield(AH10,AA10,YieldDayCounter,YieldCompounding,YieldFrequency))</f>
        <v>96.450570084102566</v>
      </c>
      <c r="AC10" s="45"/>
      <c r="AD10" s="67">
        <f t="shared" ca="1" si="1"/>
        <v>96.450570084102566</v>
      </c>
      <c r="AE10" s="66">
        <f t="shared" ca="1" si="4"/>
        <v>2.4112642521025553</v>
      </c>
      <c r="AF10" s="77">
        <f t="shared" ca="1" si="5"/>
        <v>96.450570084102566</v>
      </c>
      <c r="AG10" s="74">
        <f ca="1">IF(ISERROR(A10),NA(),_xll.qlBondYieldFromCleanPrice(AH10,AF10,YieldDayCounter,YieldCompounding,YieldFrequency))</f>
        <v>1.0817413135881635E-2</v>
      </c>
      <c r="AH10" s="78" t="str">
        <f>_xll.qlZeroCouponBond(,,"EUR",3,"target",$C10,$B10,"f",100)</f>
        <v>obj_00453#0003</v>
      </c>
      <c r="AJ10" s="32"/>
      <c r="AK10" s="32"/>
      <c r="AL10" s="108"/>
      <c r="AM10" s="107"/>
      <c r="AN10" s="107"/>
      <c r="AO10" s="107"/>
    </row>
    <row r="11" spans="1:41" ht="12.75" x14ac:dyDescent="0.2">
      <c r="A11" s="48">
        <f ca="1">_xll.qlYieldTSDiscount(BtpCurve,B11,,PriceTrigger)</f>
        <v>0.95640505344827964</v>
      </c>
      <c r="B11" s="38">
        <v>43346</v>
      </c>
      <c r="C11" s="39">
        <v>2.4999999999999911</v>
      </c>
      <c r="D11" s="60">
        <v>100</v>
      </c>
      <c r="E11" s="38">
        <v>43160</v>
      </c>
      <c r="F11" s="38">
        <v>43344</v>
      </c>
      <c r="G11" s="40">
        <v>184</v>
      </c>
      <c r="H11" s="41" t="str">
        <v>#N/A</v>
      </c>
      <c r="I11" s="40" t="str">
        <v>#N/A</v>
      </c>
      <c r="J11" s="38" t="str">
        <v>#N/A</v>
      </c>
      <c r="K11" s="40" t="str">
        <v>Actual/Actual (ISMA)</v>
      </c>
      <c r="L11" s="42">
        <v>0.5</v>
      </c>
      <c r="M11" s="43">
        <v>0.05</v>
      </c>
      <c r="N11" s="43" t="str">
        <v>#N/A</v>
      </c>
      <c r="O11" s="44" t="str">
        <v>#N/A</v>
      </c>
      <c r="P11" s="43" t="str">
        <v>#N/A</v>
      </c>
      <c r="Q11" s="43" t="str">
        <v>#N/A</v>
      </c>
      <c r="R11" s="43" t="str">
        <v>#N/A</v>
      </c>
      <c r="S11" s="43" t="str">
        <v>#N/A</v>
      </c>
      <c r="T11" s="43" t="str">
        <v>#N/A</v>
      </c>
      <c r="U11" s="41" t="str">
        <v>#N/A</v>
      </c>
      <c r="V11" s="66">
        <f t="shared" ca="1" si="2"/>
        <v>2.3910126336206905</v>
      </c>
      <c r="W11" s="45"/>
      <c r="X11" s="67">
        <f t="shared" ca="1" si="0"/>
        <v>2.3910126336206905</v>
      </c>
      <c r="Y11" s="73">
        <f ca="1">IF(ISERROR(A11),NA(),_xll.qlBondYieldFromCleanPrice(AH11,X11/C11*100,YieldDayCounter,YieldCompounding,YieldFrequency))</f>
        <v>1.1588890541249907E-2</v>
      </c>
      <c r="Z11" s="46"/>
      <c r="AA11" s="74">
        <f t="shared" ca="1" si="3"/>
        <v>1.1588890541249907E-2</v>
      </c>
      <c r="AB11" s="66">
        <f ca="1">IF(ISERROR(A11),IF(ISNUMBER(C11),0,NA()),_xll.qlBondCleanPriceFromYield(AH11,AA11,YieldDayCounter,YieldCompounding,YieldFrequency))</f>
        <v>95.640505356488603</v>
      </c>
      <c r="AC11" s="45"/>
      <c r="AD11" s="67">
        <f t="shared" ca="1" si="1"/>
        <v>95.640505356488603</v>
      </c>
      <c r="AE11" s="66">
        <f t="shared" ca="1" si="4"/>
        <v>2.3910126339122066</v>
      </c>
      <c r="AF11" s="77">
        <f t="shared" ca="1" si="5"/>
        <v>95.640505356488603</v>
      </c>
      <c r="AG11" s="74">
        <f ca="1">IF(ISERROR(A11),NA(),_xll.qlBondYieldFromCleanPrice(AH11,AF11,YieldDayCounter,YieldCompounding,YieldFrequency))</f>
        <v>1.1588890509368517E-2</v>
      </c>
      <c r="AH11" s="78" t="str">
        <f>_xll.qlZeroCouponBond(,,"EUR",3,"target",$C11,$B11,"f",100)</f>
        <v>obj_0045d#0003</v>
      </c>
      <c r="AJ11" s="32"/>
      <c r="AK11" s="32"/>
      <c r="AL11" s="108"/>
      <c r="AM11" s="107"/>
      <c r="AN11" s="107"/>
      <c r="AO11" s="107"/>
    </row>
    <row r="12" spans="1:41" ht="12.75" x14ac:dyDescent="0.2">
      <c r="A12" s="48">
        <f ca="1">_xll.qlYieldTSDiscount(BtpCurve,B12,,PriceTrigger)</f>
        <v>0.94857121020420043</v>
      </c>
      <c r="B12" s="38">
        <v>43525</v>
      </c>
      <c r="C12" s="39">
        <v>2.4999999999999911</v>
      </c>
      <c r="D12" s="60">
        <v>100</v>
      </c>
      <c r="E12" s="38">
        <v>43344</v>
      </c>
      <c r="F12" s="38">
        <v>43525</v>
      </c>
      <c r="G12" s="40">
        <v>181</v>
      </c>
      <c r="H12" s="41" t="str">
        <v>#N/A</v>
      </c>
      <c r="I12" s="40" t="str">
        <v>#N/A</v>
      </c>
      <c r="J12" s="38" t="str">
        <v>#N/A</v>
      </c>
      <c r="K12" s="40" t="str">
        <v>Actual/Actual (ISMA)</v>
      </c>
      <c r="L12" s="42">
        <v>0.5</v>
      </c>
      <c r="M12" s="43">
        <v>0.05</v>
      </c>
      <c r="N12" s="43" t="str">
        <v>#N/A</v>
      </c>
      <c r="O12" s="44" t="str">
        <v>#N/A</v>
      </c>
      <c r="P12" s="43" t="str">
        <v>#N/A</v>
      </c>
      <c r="Q12" s="43" t="str">
        <v>#N/A</v>
      </c>
      <c r="R12" s="43" t="str">
        <v>#N/A</v>
      </c>
      <c r="S12" s="43" t="str">
        <v>#N/A</v>
      </c>
      <c r="T12" s="43" t="str">
        <v>#N/A</v>
      </c>
      <c r="U12" s="41" t="str">
        <v>#N/A</v>
      </c>
      <c r="V12" s="66">
        <f t="shared" ca="1" si="2"/>
        <v>2.3714280255104927</v>
      </c>
      <c r="W12" s="45"/>
      <c r="X12" s="67">
        <f t="shared" ca="1" si="0"/>
        <v>2.3714280255104927</v>
      </c>
      <c r="Y12" s="73">
        <f ca="1">IF(ISERROR(A12),NA(),_xll.qlBondYieldFromCleanPrice(AH12,X12/C12*100,YieldDayCounter,YieldCompounding,YieldFrequency))</f>
        <v>1.2186429688946076E-2</v>
      </c>
      <c r="Z12" s="46"/>
      <c r="AA12" s="74">
        <f t="shared" ca="1" si="3"/>
        <v>1.2186429688946076E-2</v>
      </c>
      <c r="AB12" s="66">
        <f ca="1">IF(ISERROR(A12),IF(ISNUMBER(C12),0,NA()),_xll.qlBondCleanPriceFromYield(AH12,AA12,YieldDayCounter,YieldCompounding,YieldFrequency))</f>
        <v>94.85712101499611</v>
      </c>
      <c r="AC12" s="45"/>
      <c r="AD12" s="67">
        <f t="shared" ca="1" si="1"/>
        <v>94.85712101499611</v>
      </c>
      <c r="AE12" s="66">
        <f t="shared" ca="1" si="4"/>
        <v>2.3714280253748945</v>
      </c>
      <c r="AF12" s="77">
        <f t="shared" ca="1" si="5"/>
        <v>94.85712101499611</v>
      </c>
      <c r="AG12" s="74">
        <f ca="1">IF(ISERROR(A12),NA(),_xll.qlBondYieldFromCleanPrice(AH12,AF12,YieldDayCounter,YieldCompounding,YieldFrequency))</f>
        <v>1.2186429702224007E-2</v>
      </c>
      <c r="AH12" s="78" t="str">
        <f>_xll.qlZeroCouponBond(,,"EUR",3,"target",$C12,$B12,"f",100)</f>
        <v>obj_00470#0003</v>
      </c>
      <c r="AJ12" s="32"/>
      <c r="AK12" s="32"/>
      <c r="AL12" s="108"/>
      <c r="AM12" s="107"/>
      <c r="AN12" s="107"/>
      <c r="AO12" s="107"/>
    </row>
    <row r="13" spans="1:41" ht="12.75" x14ac:dyDescent="0.2">
      <c r="A13" s="48">
        <f ca="1">_xll.qlYieldTSDiscount(BtpCurve,B13,,PriceTrigger)</f>
        <v>0.93813739009754971</v>
      </c>
      <c r="B13" s="38">
        <v>43710</v>
      </c>
      <c r="C13" s="39">
        <v>2.4999999999999911</v>
      </c>
      <c r="D13" s="60">
        <v>100</v>
      </c>
      <c r="E13" s="38">
        <v>43525</v>
      </c>
      <c r="F13" s="38">
        <v>43709</v>
      </c>
      <c r="G13" s="40">
        <v>184</v>
      </c>
      <c r="H13" s="41" t="str">
        <v>#N/A</v>
      </c>
      <c r="I13" s="40" t="str">
        <v>#N/A</v>
      </c>
      <c r="J13" s="38" t="str">
        <v>#N/A</v>
      </c>
      <c r="K13" s="40" t="str">
        <v>Actual/Actual (ISMA)</v>
      </c>
      <c r="L13" s="42">
        <v>0.5</v>
      </c>
      <c r="M13" s="43">
        <v>0.05</v>
      </c>
      <c r="N13" s="43" t="str">
        <v>#N/A</v>
      </c>
      <c r="O13" s="44" t="str">
        <v>#N/A</v>
      </c>
      <c r="P13" s="43" t="str">
        <v>#N/A</v>
      </c>
      <c r="Q13" s="43" t="str">
        <v>#N/A</v>
      </c>
      <c r="R13" s="43" t="str">
        <v>#N/A</v>
      </c>
      <c r="S13" s="43" t="str">
        <v>#N/A</v>
      </c>
      <c r="T13" s="43" t="str">
        <v>#N/A</v>
      </c>
      <c r="U13" s="41" t="str">
        <v>#N/A</v>
      </c>
      <c r="V13" s="66">
        <f t="shared" ca="1" si="2"/>
        <v>2.3453434752438658</v>
      </c>
      <c r="W13" s="45"/>
      <c r="X13" s="67">
        <f t="shared" ca="1" si="0"/>
        <v>2.3453434752438658</v>
      </c>
      <c r="Y13" s="73">
        <f ca="1">IF(ISERROR(A13),NA(),_xll.qlBondYieldFromCleanPrice(AH13,X13/C13*100,YieldDayCounter,YieldCompounding,YieldFrequency))</f>
        <v>1.3210647947284474E-2</v>
      </c>
      <c r="Z13" s="46"/>
      <c r="AA13" s="74">
        <f t="shared" ca="1" si="3"/>
        <v>1.3210647947284474E-2</v>
      </c>
      <c r="AB13" s="66">
        <f ca="1">IF(ISERROR(A13),IF(ISNUMBER(C13),0,NA()),_xll.qlBondCleanPriceFromYield(AH13,AA13,YieldDayCounter,YieldCompounding,YieldFrequency))</f>
        <v>93.813738988155123</v>
      </c>
      <c r="AC13" s="45"/>
      <c r="AD13" s="67">
        <f t="shared" ca="1" si="1"/>
        <v>93.813738988155123</v>
      </c>
      <c r="AE13" s="66">
        <f t="shared" ca="1" si="4"/>
        <v>2.3453434747038697</v>
      </c>
      <c r="AF13" s="77">
        <f t="shared" ca="1" si="5"/>
        <v>93.813738988155123</v>
      </c>
      <c r="AG13" s="74">
        <f ca="1">IF(ISERROR(A13),NA(),_xll.qlBondYieldFromCleanPrice(AH13,AF13,YieldDayCounter,YieldCompounding,YieldFrequency))</f>
        <v>1.3210647995228348E-2</v>
      </c>
      <c r="AH13" s="78" t="str">
        <f>_xll.qlZeroCouponBond(,,"EUR",3,"target",$C13,$B13,"f",100)</f>
        <v>obj_00450#0003</v>
      </c>
      <c r="AJ13" s="32"/>
      <c r="AK13" s="32"/>
      <c r="AL13" s="108"/>
      <c r="AM13" s="107"/>
      <c r="AN13" s="107"/>
      <c r="AO13" s="107"/>
    </row>
    <row r="14" spans="1:41" ht="12.75" x14ac:dyDescent="0.2">
      <c r="A14" s="48">
        <f ca="1">_xll.qlYieldTSDiscount(BtpCurve,B14,,PriceTrigger)</f>
        <v>0.92488361331461888</v>
      </c>
      <c r="B14" s="38">
        <v>43892</v>
      </c>
      <c r="C14" s="39">
        <v>2.4999999999999911</v>
      </c>
      <c r="D14" s="60">
        <v>100</v>
      </c>
      <c r="E14" s="38">
        <v>43709</v>
      </c>
      <c r="F14" s="38">
        <v>43891</v>
      </c>
      <c r="G14" s="40">
        <v>182</v>
      </c>
      <c r="H14" s="41" t="str">
        <v>#N/A</v>
      </c>
      <c r="I14" s="40" t="str">
        <v>#N/A</v>
      </c>
      <c r="J14" s="38" t="str">
        <v>#N/A</v>
      </c>
      <c r="K14" s="40" t="str">
        <v>Actual/Actual (ISMA)</v>
      </c>
      <c r="L14" s="42">
        <v>0.5</v>
      </c>
      <c r="M14" s="43">
        <v>0.05</v>
      </c>
      <c r="N14" s="43" t="str">
        <v>#N/A</v>
      </c>
      <c r="O14" s="44" t="str">
        <v>#N/A</v>
      </c>
      <c r="P14" s="43" t="str">
        <v>#N/A</v>
      </c>
      <c r="Q14" s="43" t="str">
        <v>#N/A</v>
      </c>
      <c r="R14" s="43" t="str">
        <v>#N/A</v>
      </c>
      <c r="S14" s="43" t="str">
        <v>#N/A</v>
      </c>
      <c r="T14" s="43" t="str">
        <v>#N/A</v>
      </c>
      <c r="U14" s="41" t="str">
        <v>#N/A</v>
      </c>
      <c r="V14" s="66">
        <f t="shared" ca="1" si="2"/>
        <v>2.312209033286539</v>
      </c>
      <c r="W14" s="45"/>
      <c r="X14" s="67">
        <f t="shared" ca="1" si="0"/>
        <v>2.312209033286539</v>
      </c>
      <c r="Y14" s="73">
        <f ca="1">IF(ISERROR(A14),NA(),_xll.qlBondYieldFromCleanPrice(AH14,X14/C14*100,YieldDayCounter,YieldCompounding,YieldFrequency))</f>
        <v>1.4670645962904275E-2</v>
      </c>
      <c r="Z14" s="46"/>
      <c r="AA14" s="74">
        <f t="shared" ca="1" si="3"/>
        <v>1.4670645962904275E-2</v>
      </c>
      <c r="AB14" s="66">
        <f ca="1">IF(ISERROR(A14),IF(ISNUMBER(C14),0,NA()),_xll.qlBondCleanPriceFromYield(AH14,AA14,YieldDayCounter,YieldCompounding,YieldFrequency))</f>
        <v>92.488361337855281</v>
      </c>
      <c r="AC14" s="45"/>
      <c r="AD14" s="67">
        <f t="shared" ca="1" si="1"/>
        <v>92.488361337855281</v>
      </c>
      <c r="AE14" s="66">
        <f t="shared" ca="1" si="4"/>
        <v>2.3122090334463739</v>
      </c>
      <c r="AF14" s="77">
        <f t="shared" ca="1" si="5"/>
        <v>92.488361337855281</v>
      </c>
      <c r="AG14" s="74">
        <f ca="1">IF(ISERROR(A14),NA(),_xll.qlBondYieldFromCleanPrice(AH14,AF14,YieldDayCounter,YieldCompounding,YieldFrequency))</f>
        <v>1.4670645949822397E-2</v>
      </c>
      <c r="AH14" s="78" t="str">
        <f>_xll.qlZeroCouponBond(,,"EUR",3,"target",$C14,$B14,"f",100)</f>
        <v>obj_00462#0003</v>
      </c>
      <c r="AJ14" s="32"/>
      <c r="AK14" s="32"/>
      <c r="AL14" s="108"/>
      <c r="AM14" s="107"/>
      <c r="AN14" s="107"/>
      <c r="AO14" s="107"/>
    </row>
    <row r="15" spans="1:41" ht="12.75" x14ac:dyDescent="0.2">
      <c r="A15" s="48">
        <f ca="1">_xll.qlYieldTSDiscount(BtpCurve,B15,,PriceTrigger)</f>
        <v>0.90981763627646439</v>
      </c>
      <c r="B15" s="38">
        <v>44075</v>
      </c>
      <c r="C15" s="39">
        <v>2.4999999999999911</v>
      </c>
      <c r="D15" s="60">
        <v>100</v>
      </c>
      <c r="E15" s="38">
        <v>43891</v>
      </c>
      <c r="F15" s="38">
        <v>44075</v>
      </c>
      <c r="G15" s="40">
        <v>184</v>
      </c>
      <c r="H15" s="41" t="str">
        <v>#N/A</v>
      </c>
      <c r="I15" s="40" t="str">
        <v>#N/A</v>
      </c>
      <c r="J15" s="38" t="str">
        <v>#N/A</v>
      </c>
      <c r="K15" s="40" t="str">
        <v>Actual/Actual (ISMA)</v>
      </c>
      <c r="L15" s="42">
        <v>0.5</v>
      </c>
      <c r="M15" s="43">
        <v>0.05</v>
      </c>
      <c r="N15" s="43" t="str">
        <v>#N/A</v>
      </c>
      <c r="O15" s="44" t="str">
        <v>#N/A</v>
      </c>
      <c r="P15" s="43" t="str">
        <v>#N/A</v>
      </c>
      <c r="Q15" s="43" t="str">
        <v>#N/A</v>
      </c>
      <c r="R15" s="43" t="str">
        <v>#N/A</v>
      </c>
      <c r="S15" s="43" t="str">
        <v>#N/A</v>
      </c>
      <c r="T15" s="43" t="str">
        <v>#N/A</v>
      </c>
      <c r="U15" s="41" t="str">
        <v>#N/A</v>
      </c>
      <c r="V15" s="66">
        <f t="shared" ca="1" si="2"/>
        <v>2.2745440906911529</v>
      </c>
      <c r="W15" s="45"/>
      <c r="X15" s="67">
        <f t="shared" ca="1" si="0"/>
        <v>2.2745440906911529</v>
      </c>
      <c r="Y15" s="73">
        <f ca="1">IF(ISERROR(A15),NA(),_xll.qlBondYieldFromCleanPrice(AH15,X15/C15*100,YieldDayCounter,YieldCompounding,YieldFrequency))</f>
        <v>1.6250510044398325E-2</v>
      </c>
      <c r="Z15" s="46"/>
      <c r="AA15" s="74">
        <f t="shared" ca="1" si="3"/>
        <v>1.6250510044398325E-2</v>
      </c>
      <c r="AB15" s="66">
        <f ca="1">IF(ISERROR(A15),IF(ISNUMBER(C15),0,NA()),_xll.qlBondCleanPriceFromYield(AH15,AA15,YieldDayCounter,YieldCompounding,YieldFrequency))</f>
        <v>90.981763618121121</v>
      </c>
      <c r="AC15" s="45"/>
      <c r="AD15" s="67">
        <f t="shared" ca="1" si="1"/>
        <v>90.981763618121121</v>
      </c>
      <c r="AE15" s="66">
        <f t="shared" ca="1" si="4"/>
        <v>2.2745440904530199</v>
      </c>
      <c r="AF15" s="77">
        <f t="shared" ca="1" si="5"/>
        <v>90.981763618121121</v>
      </c>
      <c r="AG15" s="74">
        <f ca="1">IF(ISERROR(A15),NA(),_xll.qlBondYieldFromCleanPrice(AH15,AF15,YieldDayCounter,YieldCompounding,YieldFrequency))</f>
        <v>1.6250510062544878E-2</v>
      </c>
      <c r="AH15" s="78" t="str">
        <f>_xll.qlZeroCouponBond(,,"EUR",3,"target",$C15,$B15,"f",100)</f>
        <v>obj_0046f#0003</v>
      </c>
      <c r="AJ15" s="32"/>
      <c r="AK15" s="32"/>
      <c r="AL15" s="108"/>
      <c r="AM15" s="107"/>
      <c r="AN15" s="107"/>
      <c r="AO15" s="107"/>
    </row>
    <row r="16" spans="1:41" ht="12.75" x14ac:dyDescent="0.2">
      <c r="A16" s="48">
        <f ca="1">_xll.qlYieldTSDiscount(BtpCurve,B16,,PriceTrigger)</f>
        <v>0.89358064688018202</v>
      </c>
      <c r="B16" s="38">
        <v>44256</v>
      </c>
      <c r="C16" s="39">
        <v>2.4999999999999911</v>
      </c>
      <c r="D16" s="60">
        <v>100</v>
      </c>
      <c r="E16" s="38">
        <v>44075</v>
      </c>
      <c r="F16" s="38">
        <v>44256</v>
      </c>
      <c r="G16" s="40">
        <v>181</v>
      </c>
      <c r="H16" s="41" t="str">
        <v>#N/A</v>
      </c>
      <c r="I16" s="40" t="str">
        <v>#N/A</v>
      </c>
      <c r="J16" s="38" t="str">
        <v>#N/A</v>
      </c>
      <c r="K16" s="40" t="str">
        <v>Actual/Actual (ISMA)</v>
      </c>
      <c r="L16" s="42">
        <v>0.5</v>
      </c>
      <c r="M16" s="43">
        <v>0.05</v>
      </c>
      <c r="N16" s="43" t="str">
        <v>#N/A</v>
      </c>
      <c r="O16" s="44" t="str">
        <v>#N/A</v>
      </c>
      <c r="P16" s="43" t="str">
        <v>#N/A</v>
      </c>
      <c r="Q16" s="43" t="str">
        <v>#N/A</v>
      </c>
      <c r="R16" s="43" t="str">
        <v>#N/A</v>
      </c>
      <c r="S16" s="43" t="str">
        <v>#N/A</v>
      </c>
      <c r="T16" s="43" t="str">
        <v>#N/A</v>
      </c>
      <c r="U16" s="41" t="str">
        <v>#N/A</v>
      </c>
      <c r="V16" s="66">
        <f t="shared" ca="1" si="2"/>
        <v>2.233951617200447</v>
      </c>
      <c r="W16" s="45"/>
      <c r="X16" s="67">
        <f t="shared" ca="1" si="0"/>
        <v>2.233951617200447</v>
      </c>
      <c r="Y16" s="73">
        <f ca="1">IF(ISERROR(A16),NA(),_xll.qlBondYieldFromCleanPrice(AH16,X16/C16*100,YieldDayCounter,YieldCompounding,YieldFrequency))</f>
        <v>1.785214478707723E-2</v>
      </c>
      <c r="Z16" s="46"/>
      <c r="AA16" s="74">
        <f t="shared" ca="1" si="3"/>
        <v>1.785214478707723E-2</v>
      </c>
      <c r="AB16" s="66">
        <f ca="1">IF(ISERROR(A16),IF(ISNUMBER(C16),0,NA()),_xll.qlBondCleanPriceFromYield(AH16,AA16,YieldDayCounter,YieldCompounding,YieldFrequency))</f>
        <v>89.358064699020062</v>
      </c>
      <c r="AC16" s="45"/>
      <c r="AD16" s="67">
        <f t="shared" ca="1" si="1"/>
        <v>89.358064699020062</v>
      </c>
      <c r="AE16" s="66">
        <f t="shared" ca="1" si="4"/>
        <v>2.2339516174754936</v>
      </c>
      <c r="AF16" s="77">
        <f t="shared" ca="1" si="5"/>
        <v>89.358064699020062</v>
      </c>
      <c r="AG16" s="74">
        <f ca="1">IF(ISERROR(A16),NA(),_xll.qlBondYieldFromCleanPrice(AH16,AF16,YieldDayCounter,YieldCompounding,YieldFrequency))</f>
        <v>1.7852144767369769E-2</v>
      </c>
      <c r="AH16" s="78" t="str">
        <f>_xll.qlZeroCouponBond(,,"EUR",3,"target",$C16,$B16,"f",100)</f>
        <v>obj_0045c#0003</v>
      </c>
      <c r="AJ16" s="32"/>
      <c r="AK16" s="32"/>
      <c r="AL16" s="108"/>
      <c r="AM16" s="107"/>
      <c r="AN16" s="107"/>
      <c r="AO16" s="107"/>
    </row>
    <row r="17" spans="1:41" ht="12.75" x14ac:dyDescent="0.2">
      <c r="A17" s="48">
        <f ca="1">_xll.qlYieldTSDiscount(BtpCurve,B17,,PriceTrigger)</f>
        <v>0.87330124807316079</v>
      </c>
      <c r="B17" s="38">
        <v>44440</v>
      </c>
      <c r="C17" s="39">
        <v>2.4999999999999911</v>
      </c>
      <c r="D17" s="60">
        <v>100</v>
      </c>
      <c r="E17" s="38">
        <v>44256</v>
      </c>
      <c r="F17" s="38">
        <v>44440</v>
      </c>
      <c r="G17" s="40">
        <v>184</v>
      </c>
      <c r="H17" s="41" t="str">
        <v>#N/A</v>
      </c>
      <c r="I17" s="40" t="str">
        <v>#N/A</v>
      </c>
      <c r="J17" s="38" t="str">
        <v>#N/A</v>
      </c>
      <c r="K17" s="40" t="str">
        <v>Actual/Actual (ISMA)</v>
      </c>
      <c r="L17" s="42">
        <v>0.5</v>
      </c>
      <c r="M17" s="43">
        <v>0.05</v>
      </c>
      <c r="N17" s="43" t="str">
        <v>#N/A</v>
      </c>
      <c r="O17" s="44" t="str">
        <v>#N/A</v>
      </c>
      <c r="P17" s="43" t="str">
        <v>#N/A</v>
      </c>
      <c r="Q17" s="43" t="str">
        <v>#N/A</v>
      </c>
      <c r="R17" s="43" t="str">
        <v>#N/A</v>
      </c>
      <c r="S17" s="43" t="str">
        <v>#N/A</v>
      </c>
      <c r="T17" s="43" t="str">
        <v>#N/A</v>
      </c>
      <c r="U17" s="41" t="str">
        <v>#N/A</v>
      </c>
      <c r="V17" s="66">
        <f t="shared" ca="1" si="2"/>
        <v>2.1832531201828944</v>
      </c>
      <c r="W17" s="45"/>
      <c r="X17" s="67">
        <f t="shared" ca="1" si="0"/>
        <v>2.1832531201828944</v>
      </c>
      <c r="Y17" s="73">
        <f ca="1">IF(ISERROR(A17),NA(),_xll.qlBondYieldFromCleanPrice(AH17,X17/C17*100,YieldDayCounter,YieldCompounding,YieldFrequency))</f>
        <v>1.9935946826181251E-2</v>
      </c>
      <c r="Z17" s="46"/>
      <c r="AA17" s="74">
        <f t="shared" ca="1" si="3"/>
        <v>1.9935946826181251E-2</v>
      </c>
      <c r="AB17" s="66">
        <f ca="1">IF(ISERROR(A17),IF(ISNUMBER(C17),0,NA()),_xll.qlBondCleanPriceFromYield(AH17,AA17,YieldDayCounter,YieldCompounding,YieldFrequency))</f>
        <v>87.33012478916234</v>
      </c>
      <c r="AC17" s="45"/>
      <c r="AD17" s="67">
        <f t="shared" ca="1" si="1"/>
        <v>87.33012478916234</v>
      </c>
      <c r="AE17" s="66">
        <f t="shared" ca="1" si="4"/>
        <v>2.1832531197290508</v>
      </c>
      <c r="AF17" s="77">
        <f t="shared" ca="1" si="5"/>
        <v>87.33012478916234</v>
      </c>
      <c r="AG17" s="74">
        <f ca="1">IF(ISERROR(A17),NA(),_xll.qlBondYieldFromCleanPrice(AH17,AF17,YieldDayCounter,YieldCompounding,YieldFrequency))</f>
        <v>1.9935946857074196E-2</v>
      </c>
      <c r="AH17" s="78" t="str">
        <f>_xll.qlZeroCouponBond(,,"EUR",3,"target",$C17,$B17,"f",100)</f>
        <v>obj_00461#0003</v>
      </c>
      <c r="AJ17" s="32"/>
      <c r="AK17" s="32"/>
      <c r="AL17" s="108"/>
      <c r="AM17" s="107"/>
      <c r="AN17" s="107"/>
      <c r="AO17" s="107"/>
    </row>
    <row r="18" spans="1:41" ht="12.75" x14ac:dyDescent="0.2">
      <c r="A18" s="48">
        <f ca="1">_xll.qlYieldTSDiscount(BtpCurve,B18,,PriceTrigger)</f>
        <v>0.85456097363097405</v>
      </c>
      <c r="B18" s="38">
        <v>44621</v>
      </c>
      <c r="C18" s="39">
        <v>2.4999999999999911</v>
      </c>
      <c r="D18" s="60">
        <v>100</v>
      </c>
      <c r="E18" s="38">
        <v>44440</v>
      </c>
      <c r="F18" s="38">
        <v>44621</v>
      </c>
      <c r="G18" s="40">
        <v>181</v>
      </c>
      <c r="H18" s="41" t="str">
        <v>#N/A</v>
      </c>
      <c r="I18" s="40" t="str">
        <v>#N/A</v>
      </c>
      <c r="J18" s="38" t="str">
        <v>#N/A</v>
      </c>
      <c r="K18" s="40" t="str">
        <v>Actual/Actual (ISMA)</v>
      </c>
      <c r="L18" s="42">
        <v>0.5</v>
      </c>
      <c r="M18" s="43">
        <v>0.05</v>
      </c>
      <c r="N18" s="43" t="str">
        <v>#N/A</v>
      </c>
      <c r="O18" s="44" t="str">
        <v>#N/A</v>
      </c>
      <c r="P18" s="43" t="str">
        <v>#N/A</v>
      </c>
      <c r="Q18" s="43" t="str">
        <v>#N/A</v>
      </c>
      <c r="R18" s="43" t="str">
        <v>#N/A</v>
      </c>
      <c r="S18" s="43" t="str">
        <v>#N/A</v>
      </c>
      <c r="T18" s="43" t="str">
        <v>#N/A</v>
      </c>
      <c r="U18" s="41" t="str">
        <v>#N/A</v>
      </c>
      <c r="V18" s="66">
        <f t="shared" ca="1" si="2"/>
        <v>2.1364024340774277</v>
      </c>
      <c r="W18" s="45"/>
      <c r="X18" s="67">
        <f t="shared" ca="1" si="0"/>
        <v>2.1364024340774277</v>
      </c>
      <c r="Y18" s="73">
        <f ca="1">IF(ISERROR(A18),NA(),_xll.qlBondYieldFromCleanPrice(AH18,X18/C18*100,YieldDayCounter,YieldCompounding,YieldFrequency))</f>
        <v>2.1587152240544812E-2</v>
      </c>
      <c r="Z18" s="46"/>
      <c r="AA18" s="74">
        <f t="shared" ca="1" si="3"/>
        <v>2.1587152240544812E-2</v>
      </c>
      <c r="AB18" s="66">
        <f ca="1">IF(ISERROR(A18),IF(ISNUMBER(C18),0,NA()),_xll.qlBondCleanPriceFromYield(AH18,AA18,YieldDayCounter,YieldCompounding,YieldFrequency))</f>
        <v>85.456097350467431</v>
      </c>
      <c r="AC18" s="45"/>
      <c r="AD18" s="67">
        <f t="shared" ca="1" si="1"/>
        <v>85.456097350467431</v>
      </c>
      <c r="AE18" s="66">
        <f t="shared" ca="1" si="4"/>
        <v>2.136402433761678</v>
      </c>
      <c r="AF18" s="77">
        <f t="shared" ca="1" si="5"/>
        <v>85.456097350467431</v>
      </c>
      <c r="AG18" s="74">
        <f ca="1">IF(ISERROR(A18),NA(),_xll.qlBondYieldFromCleanPrice(AH18,AF18,YieldDayCounter,YieldCompounding,YieldFrequency))</f>
        <v>2.1587152261062208E-2</v>
      </c>
      <c r="AH18" s="78" t="str">
        <f>_xll.qlZeroCouponBond(,,"EUR",3,"target",$C18,$B18,"f",100)</f>
        <v>obj_0044c#0003</v>
      </c>
      <c r="AJ18" s="32"/>
      <c r="AK18" s="32"/>
      <c r="AL18" s="108"/>
      <c r="AM18" s="107"/>
      <c r="AN18" s="107"/>
      <c r="AO18" s="107"/>
    </row>
    <row r="19" spans="1:41" ht="12.75" x14ac:dyDescent="0.2">
      <c r="A19" s="48">
        <f ca="1">_xll.qlYieldTSDiscount(BtpCurve,B19,,PriceTrigger)</f>
        <v>0.83442537323023735</v>
      </c>
      <c r="B19" s="38">
        <v>44805</v>
      </c>
      <c r="C19" s="39">
        <v>2.4999999999999911</v>
      </c>
      <c r="D19" s="60">
        <v>100</v>
      </c>
      <c r="E19" s="38">
        <v>44621</v>
      </c>
      <c r="F19" s="38">
        <v>44805</v>
      </c>
      <c r="G19" s="40">
        <v>184</v>
      </c>
      <c r="H19" s="41" t="str">
        <v>#N/A</v>
      </c>
      <c r="I19" s="40" t="str">
        <v>#N/A</v>
      </c>
      <c r="J19" s="38" t="str">
        <v>#N/A</v>
      </c>
      <c r="K19" s="40" t="str">
        <v>Actual/Actual (ISMA)</v>
      </c>
      <c r="L19" s="42">
        <v>0.5</v>
      </c>
      <c r="M19" s="43">
        <v>0.05</v>
      </c>
      <c r="N19" s="43" t="str">
        <v>#N/A</v>
      </c>
      <c r="O19" s="44" t="str">
        <v>#N/A</v>
      </c>
      <c r="P19" s="43" t="str">
        <v>#N/A</v>
      </c>
      <c r="Q19" s="43" t="str">
        <v>#N/A</v>
      </c>
      <c r="R19" s="43" t="str">
        <v>#N/A</v>
      </c>
      <c r="S19" s="43" t="str">
        <v>#N/A</v>
      </c>
      <c r="T19" s="43" t="str">
        <v>#N/A</v>
      </c>
      <c r="U19" s="41" t="str">
        <v>#N/A</v>
      </c>
      <c r="V19" s="66">
        <f t="shared" ca="1" si="2"/>
        <v>2.0860634330755858</v>
      </c>
      <c r="W19" s="45"/>
      <c r="X19" s="67">
        <f t="shared" ca="1" si="0"/>
        <v>2.0860634330755858</v>
      </c>
      <c r="Y19" s="73">
        <f ca="1">IF(ISERROR(A19),NA(),_xll.qlBondYieldFromCleanPrice(AH19,X19/C19*100,YieldDayCounter,YieldCompounding,YieldFrequency))</f>
        <v>2.3287706715619718E-2</v>
      </c>
      <c r="Z19" s="46"/>
      <c r="AA19" s="74">
        <f t="shared" ca="1" si="3"/>
        <v>2.3287706715619718E-2</v>
      </c>
      <c r="AB19" s="66">
        <f ca="1">IF(ISERROR(A19),IF(ISNUMBER(C19),0,NA()),_xll.qlBondCleanPriceFromYield(AH19,AA19,YieldDayCounter,YieldCompounding,YieldFrequency))</f>
        <v>83.442537328404512</v>
      </c>
      <c r="AC19" s="45"/>
      <c r="AD19" s="67">
        <f t="shared" ca="1" si="1"/>
        <v>83.442537328404512</v>
      </c>
      <c r="AE19" s="66">
        <f t="shared" ca="1" si="4"/>
        <v>2.0860634332101053</v>
      </c>
      <c r="AF19" s="77">
        <f t="shared" ca="1" si="5"/>
        <v>83.442537328404512</v>
      </c>
      <c r="AG19" s="74">
        <f ca="1">IF(ISERROR(A19),NA(),_xll.qlBondYieldFromCleanPrice(AH19,AF19,YieldDayCounter,YieldCompounding,YieldFrequency))</f>
        <v>2.3287706707227719E-2</v>
      </c>
      <c r="AH19" s="78" t="str">
        <f>_xll.qlZeroCouponBond(,,"EUR",3,"target",$C19,$B19,"f",100)</f>
        <v>obj_0044a#0003</v>
      </c>
      <c r="AJ19" s="32"/>
      <c r="AK19" s="32"/>
      <c r="AL19" s="108"/>
      <c r="AM19" s="107"/>
      <c r="AN19" s="107"/>
      <c r="AO19" s="107"/>
    </row>
    <row r="20" spans="1:41" ht="12.75" x14ac:dyDescent="0.2">
      <c r="A20" s="48">
        <f ca="1">_xll.qlYieldTSDiscount(BtpCurve,B20,,PriceTrigger)</f>
        <v>0.81631457243406791</v>
      </c>
      <c r="B20" s="38">
        <v>44986</v>
      </c>
      <c r="C20" s="39">
        <v>2.4999999999999911</v>
      </c>
      <c r="D20" s="60">
        <v>100</v>
      </c>
      <c r="E20" s="38">
        <v>44805</v>
      </c>
      <c r="F20" s="38">
        <v>44986</v>
      </c>
      <c r="G20" s="40">
        <v>181</v>
      </c>
      <c r="H20" s="41" t="str">
        <v>#N/A</v>
      </c>
      <c r="I20" s="40" t="str">
        <v>#N/A</v>
      </c>
      <c r="J20" s="38" t="str">
        <v>#N/A</v>
      </c>
      <c r="K20" s="40" t="str">
        <v>Actual/Actual (ISMA)</v>
      </c>
      <c r="L20" s="42">
        <v>0.5</v>
      </c>
      <c r="M20" s="43">
        <v>0.05</v>
      </c>
      <c r="N20" s="43" t="str">
        <v>#N/A</v>
      </c>
      <c r="O20" s="44" t="str">
        <v>#N/A</v>
      </c>
      <c r="P20" s="43" t="str">
        <v>#N/A</v>
      </c>
      <c r="Q20" s="43" t="str">
        <v>#N/A</v>
      </c>
      <c r="R20" s="43" t="str">
        <v>#N/A</v>
      </c>
      <c r="S20" s="43" t="str">
        <v>#N/A</v>
      </c>
      <c r="T20" s="43" t="str">
        <v>#N/A</v>
      </c>
      <c r="U20" s="41" t="str">
        <v>#N/A</v>
      </c>
      <c r="V20" s="66">
        <f t="shared" ca="1" si="2"/>
        <v>2.0407864310851624</v>
      </c>
      <c r="W20" s="45"/>
      <c r="X20" s="67">
        <f t="shared" ca="1" si="0"/>
        <v>2.0407864310851624</v>
      </c>
      <c r="Y20" s="73">
        <f ca="1">IF(ISERROR(A20),NA(),_xll.qlBondYieldFromCleanPrice(AH20,X20/C20*100,YieldDayCounter,YieldCompounding,YieldFrequency))</f>
        <v>2.4577318798134719E-2</v>
      </c>
      <c r="Z20" s="46"/>
      <c r="AA20" s="74">
        <f t="shared" ca="1" si="3"/>
        <v>2.4577318798134719E-2</v>
      </c>
      <c r="AB20" s="66">
        <f ca="1">IF(ISERROR(A20),IF(ISNUMBER(C20),0,NA()),_xll.qlBondCleanPriceFromYield(AH20,AA20,YieldDayCounter,YieldCompounding,YieldFrequency))</f>
        <v>81.631457254265229</v>
      </c>
      <c r="AC20" s="45"/>
      <c r="AD20" s="67">
        <f t="shared" ca="1" si="1"/>
        <v>81.631457254265229</v>
      </c>
      <c r="AE20" s="66">
        <f t="shared" ca="1" si="4"/>
        <v>2.0407864313566235</v>
      </c>
      <c r="AF20" s="77">
        <f t="shared" ca="1" si="5"/>
        <v>81.631457254265229</v>
      </c>
      <c r="AG20" s="74">
        <f ca="1">IF(ISERROR(A20),NA(),_xll.qlBondYieldFromCleanPrice(AH20,AF20,YieldDayCounter,YieldCompounding,YieldFrequency))</f>
        <v>2.4577318781830549E-2</v>
      </c>
      <c r="AH20" s="78" t="str">
        <f>_xll.qlZeroCouponBond(,,"EUR",3,"target",$C20,$B20,"f",100)</f>
        <v>obj_0045e#0003</v>
      </c>
      <c r="AJ20" s="32"/>
      <c r="AK20" s="32"/>
      <c r="AL20" s="108"/>
      <c r="AM20" s="107"/>
      <c r="AN20" s="107"/>
      <c r="AO20" s="107"/>
    </row>
    <row r="21" spans="1:41" ht="12.75" x14ac:dyDescent="0.2">
      <c r="A21" s="48">
        <f ca="1">_xll.qlYieldTSDiscount(BtpCurve,B21,,PriceTrigger)</f>
        <v>0.80251894096475684</v>
      </c>
      <c r="B21" s="38">
        <v>45170</v>
      </c>
      <c r="C21" s="39">
        <v>2.4999999999999911</v>
      </c>
      <c r="D21" s="60">
        <v>100</v>
      </c>
      <c r="E21" s="38">
        <v>44986</v>
      </c>
      <c r="F21" s="38">
        <v>45170</v>
      </c>
      <c r="G21" s="40">
        <v>184</v>
      </c>
      <c r="H21" s="41" t="str">
        <v>#N/A</v>
      </c>
      <c r="I21" s="40" t="str">
        <v>#N/A</v>
      </c>
      <c r="J21" s="38" t="str">
        <v>#N/A</v>
      </c>
      <c r="K21" s="40" t="str">
        <v>Actual/Actual (ISMA)</v>
      </c>
      <c r="L21" s="42">
        <v>0.5</v>
      </c>
      <c r="M21" s="43">
        <v>0.05</v>
      </c>
      <c r="N21" s="43" t="str">
        <v>#N/A</v>
      </c>
      <c r="O21" s="44" t="str">
        <v>#N/A</v>
      </c>
      <c r="P21" s="43" t="str">
        <v>#N/A</v>
      </c>
      <c r="Q21" s="43" t="str">
        <v>#N/A</v>
      </c>
      <c r="R21" s="43" t="str">
        <v>#N/A</v>
      </c>
      <c r="S21" s="43" t="str">
        <v>#N/A</v>
      </c>
      <c r="T21" s="43" t="str">
        <v>#N/A</v>
      </c>
      <c r="U21" s="41" t="str">
        <v>#N/A</v>
      </c>
      <c r="V21" s="66">
        <f t="shared" ca="1" si="2"/>
        <v>2.006297352411885</v>
      </c>
      <c r="W21" s="45"/>
      <c r="X21" s="67">
        <f t="shared" ca="1" si="0"/>
        <v>2.006297352411885</v>
      </c>
      <c r="Y21" s="73">
        <f ca="1">IF(ISERROR(A21),NA(),_xll.qlBondYieldFromCleanPrice(AH21,X21/C21*100,YieldDayCounter,YieldCompounding,YieldFrequency))</f>
        <v>2.51328730871479E-2</v>
      </c>
      <c r="Z21" s="46"/>
      <c r="AA21" s="74">
        <f t="shared" ca="1" si="3"/>
        <v>2.51328730871479E-2</v>
      </c>
      <c r="AB21" s="66">
        <f ca="1">IF(ISERROR(A21),IF(ISNUMBER(C21),0,NA()),_xll.qlBondCleanPriceFromYield(AH21,AA21,YieldDayCounter,YieldCompounding,YieldFrequency))</f>
        <v>80.251894092705271</v>
      </c>
      <c r="AC21" s="45"/>
      <c r="AD21" s="67">
        <f t="shared" ca="1" si="1"/>
        <v>80.251894092705271</v>
      </c>
      <c r="AE21" s="66">
        <f t="shared" ca="1" si="4"/>
        <v>2.0062973523176244</v>
      </c>
      <c r="AF21" s="77">
        <f t="shared" ca="1" si="5"/>
        <v>80.251894092705271</v>
      </c>
      <c r="AG21" s="74">
        <f ca="1">IF(ISERROR(A21),NA(),_xll.qlBondYieldFromCleanPrice(AH21,AF21,YieldDayCounter,YieldCompounding,YieldFrequency))</f>
        <v>2.513287309258206E-2</v>
      </c>
      <c r="AH21" s="78" t="str">
        <f>_xll.qlZeroCouponBond(,,"EUR",3,"target",$C21,$B21,"f",100)</f>
        <v>obj_00456#0003</v>
      </c>
      <c r="AJ21" s="32"/>
      <c r="AK21" s="32"/>
      <c r="AL21" s="108"/>
      <c r="AM21" s="107"/>
      <c r="AN21" s="107"/>
      <c r="AO21" s="107"/>
    </row>
    <row r="22" spans="1:41" ht="12.75" x14ac:dyDescent="0.2">
      <c r="A22" s="48">
        <f ca="1">_xll.qlYieldTSDiscount(BtpCurve,B22,,PriceTrigger)</f>
        <v>0.78645628490798092</v>
      </c>
      <c r="B22" s="38">
        <v>45352</v>
      </c>
      <c r="C22" s="39">
        <v>2.4999999999999911</v>
      </c>
      <c r="D22" s="60">
        <v>100</v>
      </c>
      <c r="E22" s="38">
        <v>45170</v>
      </c>
      <c r="F22" s="38">
        <v>45352</v>
      </c>
      <c r="G22" s="40">
        <v>182</v>
      </c>
      <c r="H22" s="41" t="str">
        <v>#N/A</v>
      </c>
      <c r="I22" s="40" t="str">
        <v>#N/A</v>
      </c>
      <c r="J22" s="38" t="str">
        <v>#N/A</v>
      </c>
      <c r="K22" s="40" t="str">
        <v>Actual/Actual (ISMA)</v>
      </c>
      <c r="L22" s="42">
        <v>0.5</v>
      </c>
      <c r="M22" s="43">
        <v>0.05</v>
      </c>
      <c r="N22" s="43" t="str">
        <v>#N/A</v>
      </c>
      <c r="O22" s="44" t="str">
        <v>#N/A</v>
      </c>
      <c r="P22" s="43" t="str">
        <v>#N/A</v>
      </c>
      <c r="Q22" s="43" t="str">
        <v>#N/A</v>
      </c>
      <c r="R22" s="43" t="str">
        <v>#N/A</v>
      </c>
      <c r="S22" s="43" t="str">
        <v>#N/A</v>
      </c>
      <c r="T22" s="43" t="str">
        <v>#N/A</v>
      </c>
      <c r="U22" s="41" t="str">
        <v>#N/A</v>
      </c>
      <c r="V22" s="66">
        <f t="shared" ca="1" si="2"/>
        <v>1.9661407122699452</v>
      </c>
      <c r="W22" s="45"/>
      <c r="X22" s="67">
        <f t="shared" ca="1" si="0"/>
        <v>1.9661407122699452</v>
      </c>
      <c r="Y22" s="73">
        <f ca="1">IF(ISERROR(A22),NA(),_xll.qlBondYieldFromCleanPrice(AH22,X22/C22*100,YieldDayCounter,YieldCompounding,YieldFrequency))</f>
        <v>2.5999578947591195E-2</v>
      </c>
      <c r="Z22" s="46"/>
      <c r="AA22" s="74">
        <f t="shared" ca="1" si="3"/>
        <v>2.5999578947591195E-2</v>
      </c>
      <c r="AB22" s="66">
        <f ca="1">IF(ISERROR(A22),IF(ISNUMBER(C22),0,NA()),_xll.qlBondCleanPriceFromYield(AH22,AA22,YieldDayCounter,YieldCompounding,YieldFrequency))</f>
        <v>78.645628493812751</v>
      </c>
      <c r="AC22" s="45"/>
      <c r="AD22" s="67">
        <f t="shared" ca="1" si="1"/>
        <v>78.645628493812751</v>
      </c>
      <c r="AE22" s="66">
        <f t="shared" ca="1" si="4"/>
        <v>1.9661407123453116</v>
      </c>
      <c r="AF22" s="77">
        <f t="shared" ca="1" si="5"/>
        <v>78.645628493812751</v>
      </c>
      <c r="AG22" s="74">
        <f ca="1">IF(ISERROR(A22),NA(),_xll.qlBondYieldFromCleanPrice(AH22,AF22,YieldDayCounter,YieldCompounding,YieldFrequency))</f>
        <v>2.599957894338898E-2</v>
      </c>
      <c r="AH22" s="78" t="str">
        <f>_xll.qlZeroCouponBond(,,"EUR",3,"target",$C22,$B22,"f",100)</f>
        <v>obj_00471#0003</v>
      </c>
      <c r="AJ22" s="32"/>
      <c r="AK22" s="32"/>
      <c r="AL22" s="108"/>
      <c r="AM22" s="107"/>
      <c r="AN22" s="107"/>
      <c r="AO22" s="107"/>
    </row>
    <row r="23" spans="1:41" ht="12.75" x14ac:dyDescent="0.2">
      <c r="A23" s="48">
        <f ca="1">_xll.qlYieldTSDiscount(BtpCurve,B23,,PriceTrigger)</f>
        <v>0.77014829031372101</v>
      </c>
      <c r="B23" s="38">
        <v>45537</v>
      </c>
      <c r="C23" s="39">
        <v>2.4999999999999911</v>
      </c>
      <c r="D23" s="60">
        <v>100</v>
      </c>
      <c r="E23" s="38">
        <v>45352</v>
      </c>
      <c r="F23" s="38">
        <v>45536</v>
      </c>
      <c r="G23" s="40">
        <v>184</v>
      </c>
      <c r="H23" s="41" t="str">
        <v>#N/A</v>
      </c>
      <c r="I23" s="40" t="str">
        <v>#N/A</v>
      </c>
      <c r="J23" s="38" t="str">
        <v>#N/A</v>
      </c>
      <c r="K23" s="40" t="str">
        <v>Actual/Actual (ISMA)</v>
      </c>
      <c r="L23" s="42">
        <v>0.5</v>
      </c>
      <c r="M23" s="43">
        <v>0.05</v>
      </c>
      <c r="N23" s="43" t="str">
        <v>#N/A</v>
      </c>
      <c r="O23" s="44" t="str">
        <v>#N/A</v>
      </c>
      <c r="P23" s="43" t="str">
        <v>#N/A</v>
      </c>
      <c r="Q23" s="43" t="str">
        <v>#N/A</v>
      </c>
      <c r="R23" s="43" t="str">
        <v>#N/A</v>
      </c>
      <c r="S23" s="43" t="str">
        <v>#N/A</v>
      </c>
      <c r="T23" s="43" t="str">
        <v>#N/A</v>
      </c>
      <c r="U23" s="41" t="str">
        <v>#N/A</v>
      </c>
      <c r="V23" s="66">
        <f t="shared" ca="1" si="2"/>
        <v>1.9253707257842956</v>
      </c>
      <c r="W23" s="45"/>
      <c r="X23" s="67">
        <f t="shared" ca="1" si="0"/>
        <v>1.9253707257842956</v>
      </c>
      <c r="Y23" s="73">
        <f ca="1">IF(ISERROR(A23),NA(),_xll.qlBondYieldFromCleanPrice(AH23,X23/C23*100,YieldDayCounter,YieldCompounding,YieldFrequency))</f>
        <v>2.682611743823906E-2</v>
      </c>
      <c r="Z23" s="46"/>
      <c r="AA23" s="74">
        <f t="shared" ca="1" si="3"/>
        <v>2.682611743823906E-2</v>
      </c>
      <c r="AB23" s="66">
        <f ca="1">IF(ISERROR(A23),IF(ISNUMBER(C23),0,NA()),_xll.qlBondCleanPriceFromYield(AH23,AA23,YieldDayCounter,YieldCompounding,YieldFrequency))</f>
        <v>77.014829028545449</v>
      </c>
      <c r="AC23" s="45"/>
      <c r="AD23" s="67">
        <f t="shared" ca="1" si="1"/>
        <v>77.014829028545449</v>
      </c>
      <c r="AE23" s="66">
        <f t="shared" ca="1" si="4"/>
        <v>1.9253707257136294</v>
      </c>
      <c r="AF23" s="77">
        <f t="shared" ca="1" si="5"/>
        <v>77.014829028545449</v>
      </c>
      <c r="AG23" s="74">
        <f ca="1">IF(ISERROR(A23),NA(),_xll.qlBondYieldFromCleanPrice(AH23,AF23,YieldDayCounter,YieldCompounding,YieldFrequency))</f>
        <v>2.6826117442059018E-2</v>
      </c>
      <c r="AH23" s="78" t="str">
        <f>_xll.qlZeroCouponBond(,,"EUR",3,"target",$C23,$B23,"f",100)</f>
        <v>obj_0046c#0003</v>
      </c>
      <c r="AJ23" s="32"/>
      <c r="AK23" s="32"/>
      <c r="AL23" s="108"/>
      <c r="AM23" s="107"/>
      <c r="AN23" s="107"/>
      <c r="AO23" s="107"/>
    </row>
    <row r="24" spans="1:41" ht="12.75" x14ac:dyDescent="0.2">
      <c r="A24" s="48">
        <f ca="1">_xll.qlYieldTSDiscount(BtpCurve,B24,,PriceTrigger)</f>
        <v>0.74679452398506718</v>
      </c>
      <c r="B24" s="38">
        <v>45719</v>
      </c>
      <c r="C24" s="39">
        <v>2.4999999999999911</v>
      </c>
      <c r="D24" s="60">
        <v>100</v>
      </c>
      <c r="E24" s="38">
        <v>45536</v>
      </c>
      <c r="F24" s="38">
        <v>45717</v>
      </c>
      <c r="G24" s="40">
        <v>181</v>
      </c>
      <c r="H24" s="41" t="str">
        <v>#N/A</v>
      </c>
      <c r="I24" s="40" t="str">
        <v>#N/A</v>
      </c>
      <c r="J24" s="38" t="str">
        <v>#N/A</v>
      </c>
      <c r="K24" s="40" t="str">
        <v>Actual/Actual (ISMA)</v>
      </c>
      <c r="L24" s="42">
        <v>0.5</v>
      </c>
      <c r="M24" s="43">
        <v>0.05</v>
      </c>
      <c r="N24" s="43" t="str">
        <v>#N/A</v>
      </c>
      <c r="O24" s="44" t="str">
        <v>#N/A</v>
      </c>
      <c r="P24" s="43" t="str">
        <v>#N/A</v>
      </c>
      <c r="Q24" s="43" t="str">
        <v>#N/A</v>
      </c>
      <c r="R24" s="43" t="str">
        <v>#N/A</v>
      </c>
      <c r="S24" s="43" t="str">
        <v>#N/A</v>
      </c>
      <c r="T24" s="43" t="str">
        <v>#N/A</v>
      </c>
      <c r="U24" s="41" t="str">
        <v>#N/A</v>
      </c>
      <c r="V24" s="66">
        <f t="shared" ca="1" si="2"/>
        <v>1.8669863099626614</v>
      </c>
      <c r="W24" s="45"/>
      <c r="X24" s="67">
        <f t="shared" ca="1" si="0"/>
        <v>1.8669863099626614</v>
      </c>
      <c r="Y24" s="73">
        <f ca="1">IF(ISERROR(A24),NA(),_xll.qlBondYieldFromCleanPrice(AH24,X24/C24*100,YieldDayCounter,YieldCompounding,YieldFrequency))</f>
        <v>2.8570577655837655E-2</v>
      </c>
      <c r="Z24" s="46"/>
      <c r="AA24" s="74">
        <f t="shared" ca="1" si="3"/>
        <v>2.8570577655837655E-2</v>
      </c>
      <c r="AB24" s="66">
        <f ca="1">IF(ISERROR(A24),IF(ISNUMBER(C24),0,NA()),_xll.qlBondCleanPriceFromYield(AH24,AA24,YieldDayCounter,YieldCompounding,YieldFrequency))</f>
        <v>74.679452403794457</v>
      </c>
      <c r="AC24" s="45"/>
      <c r="AD24" s="67">
        <f t="shared" ca="1" si="1"/>
        <v>74.679452403794457</v>
      </c>
      <c r="AE24" s="66">
        <f t="shared" ca="1" si="4"/>
        <v>1.8669863100948547</v>
      </c>
      <c r="AF24" s="77">
        <f t="shared" ca="1" si="5"/>
        <v>74.679452403794457</v>
      </c>
      <c r="AG24" s="74">
        <f ca="1">IF(ISERROR(A24),NA(),_xll.qlBondYieldFromCleanPrice(AH24,AF24,YieldDayCounter,YieldCompounding,YieldFrequency))</f>
        <v>2.8570577648810824E-2</v>
      </c>
      <c r="AH24" s="78" t="str">
        <f>_xll.qlZeroCouponBond(,,"EUR",3,"target",$C24,$B24,"f",100)</f>
        <v>obj_0045b#0003</v>
      </c>
      <c r="AJ24" s="32"/>
      <c r="AK24" s="32"/>
      <c r="AL24" s="108"/>
      <c r="AM24" s="107"/>
      <c r="AN24" s="107"/>
      <c r="AO24" s="107"/>
    </row>
    <row r="25" spans="1:41" ht="12.75" x14ac:dyDescent="0.2">
      <c r="A25" s="48">
        <f ca="1">_xll.qlYieldTSDiscount(BtpCurve,B25,,PriceTrigger)</f>
        <v>0.71977998728087311</v>
      </c>
      <c r="B25" s="38">
        <v>45901</v>
      </c>
      <c r="C25" s="39">
        <v>2.4999999999999911</v>
      </c>
      <c r="D25" s="60">
        <v>100</v>
      </c>
      <c r="E25" s="38">
        <v>45717</v>
      </c>
      <c r="F25" s="38">
        <v>45901</v>
      </c>
      <c r="G25" s="40">
        <v>184</v>
      </c>
      <c r="H25" s="41" t="str">
        <v>#N/A</v>
      </c>
      <c r="I25" s="40" t="str">
        <v>#N/A</v>
      </c>
      <c r="J25" s="38" t="str">
        <v>#N/A</v>
      </c>
      <c r="K25" s="40" t="str">
        <v>Actual/Actual (ISMA)</v>
      </c>
      <c r="L25" s="42">
        <v>0.5</v>
      </c>
      <c r="M25" s="43">
        <v>0.05</v>
      </c>
      <c r="N25" s="43" t="str">
        <v>#N/A</v>
      </c>
      <c r="O25" s="44" t="str">
        <v>#N/A</v>
      </c>
      <c r="P25" s="43" t="str">
        <v>#N/A</v>
      </c>
      <c r="Q25" s="43" t="str">
        <v>#N/A</v>
      </c>
      <c r="R25" s="43" t="str">
        <v>#N/A</v>
      </c>
      <c r="S25" s="43" t="str">
        <v>#N/A</v>
      </c>
      <c r="T25" s="43" t="str">
        <v>#N/A</v>
      </c>
      <c r="U25" s="41" t="str">
        <v>#N/A</v>
      </c>
      <c r="V25" s="66">
        <f t="shared" ca="1" si="2"/>
        <v>1.7994499682021763</v>
      </c>
      <c r="W25" s="45"/>
      <c r="X25" s="67">
        <f t="shared" ca="1" si="0"/>
        <v>1.7994499682021763</v>
      </c>
      <c r="Y25" s="73">
        <f ca="1">IF(ISERROR(A25),NA(),_xll.qlBondYieldFromCleanPrice(AH25,X25/C25*100,YieldDayCounter,YieldCompounding,YieldFrequency))</f>
        <v>3.0731490775669303E-2</v>
      </c>
      <c r="Z25" s="46"/>
      <c r="AA25" s="74">
        <f t="shared" ca="1" si="3"/>
        <v>3.0731490775669303E-2</v>
      </c>
      <c r="AB25" s="66">
        <f ca="1">IF(ISERROR(A25),IF(ISNUMBER(C25),0,NA()),_xll.qlBondCleanPriceFromYield(AH25,AA25,YieldDayCounter,YieldCompounding,YieldFrequency))</f>
        <v>71.977998700481237</v>
      </c>
      <c r="AC25" s="45"/>
      <c r="AD25" s="67">
        <f t="shared" ca="1" si="1"/>
        <v>71.977998700481237</v>
      </c>
      <c r="AE25" s="66">
        <f t="shared" ca="1" si="4"/>
        <v>1.7994499675120246</v>
      </c>
      <c r="AF25" s="77">
        <f t="shared" ca="1" si="5"/>
        <v>71.977998700481237</v>
      </c>
      <c r="AG25" s="74">
        <f ca="1">IF(ISERROR(A25),NA(),_xll.qlBondYieldFromCleanPrice(AH25,AF25,YieldDayCounter,YieldCompounding,YieldFrequency))</f>
        <v>3.0731490812060693E-2</v>
      </c>
      <c r="AH25" s="78" t="str">
        <f>_xll.qlZeroCouponBond(,,"EUR",3,"target",$C25,$B25,"f",100)</f>
        <v>obj_00454#0003</v>
      </c>
      <c r="AJ25" s="32"/>
      <c r="AK25" s="32"/>
      <c r="AL25" s="108"/>
      <c r="AM25" s="107"/>
      <c r="AN25" s="107"/>
      <c r="AO25" s="107"/>
    </row>
    <row r="26" spans="1:41" ht="12.75" x14ac:dyDescent="0.2">
      <c r="A26" s="48">
        <f ca="1">_xll.qlYieldTSDiscount(BtpCurve,B26,,PriceTrigger)</f>
        <v>0.71333009474106734</v>
      </c>
      <c r="B26" s="38">
        <v>46083</v>
      </c>
      <c r="C26" s="39">
        <v>2.4999999999999911</v>
      </c>
      <c r="D26" s="60">
        <v>100</v>
      </c>
      <c r="E26" s="38">
        <v>45901</v>
      </c>
      <c r="F26" s="38">
        <v>46082</v>
      </c>
      <c r="G26" s="40">
        <v>181</v>
      </c>
      <c r="H26" s="41" t="str">
        <v>#N/A</v>
      </c>
      <c r="I26" s="40" t="str">
        <v>#N/A</v>
      </c>
      <c r="J26" s="38" t="str">
        <v>#N/A</v>
      </c>
      <c r="K26" s="40" t="str">
        <v>Actual/Actual (ISMA)</v>
      </c>
      <c r="L26" s="42">
        <v>0.5</v>
      </c>
      <c r="M26" s="43">
        <v>0.05</v>
      </c>
      <c r="N26" s="43" t="str">
        <v>#N/A</v>
      </c>
      <c r="O26" s="44" t="str">
        <v>#N/A</v>
      </c>
      <c r="P26" s="43" t="str">
        <v>#N/A</v>
      </c>
      <c r="Q26" s="43" t="str">
        <v>#N/A</v>
      </c>
      <c r="R26" s="43" t="str">
        <v>#N/A</v>
      </c>
      <c r="S26" s="43" t="str">
        <v>#N/A</v>
      </c>
      <c r="T26" s="43" t="str">
        <v>#N/A</v>
      </c>
      <c r="U26" s="41" t="str">
        <v>#N/A</v>
      </c>
      <c r="V26" s="66">
        <f t="shared" ca="1" si="2"/>
        <v>1.783325236852662</v>
      </c>
      <c r="W26" s="45"/>
      <c r="X26" s="67">
        <f t="shared" ca="1" si="0"/>
        <v>1.783325236852662</v>
      </c>
      <c r="Y26" s="73">
        <f ca="1">IF(ISERROR(A26),NA(),_xll.qlBondYieldFromCleanPrice(AH26,X26/C26*100,YieldDayCounter,YieldCompounding,YieldFrequency))</f>
        <v>3.0179008052578456E-2</v>
      </c>
      <c r="Z26" s="46"/>
      <c r="AA26" s="74">
        <f t="shared" ca="1" si="3"/>
        <v>3.0179008052578456E-2</v>
      </c>
      <c r="AB26" s="66">
        <f ca="1">IF(ISERROR(A26),IF(ISNUMBER(C26),0,NA()),_xll.qlBondCleanPriceFromYield(AH26,AA26,YieldDayCounter,YieldCompounding,YieldFrequency))</f>
        <v>71.333009468633591</v>
      </c>
      <c r="AC26" s="45"/>
      <c r="AD26" s="67">
        <f t="shared" ca="1" si="1"/>
        <v>71.333009468633591</v>
      </c>
      <c r="AE26" s="66">
        <f t="shared" ca="1" si="4"/>
        <v>1.7833252367158334</v>
      </c>
      <c r="AF26" s="77">
        <f t="shared" ca="1" si="5"/>
        <v>71.333009468633591</v>
      </c>
      <c r="AG26" s="74">
        <f ca="1">IF(ISERROR(A26),NA(),_xll.qlBondYieldFromCleanPrice(AH26,AF26,YieldDayCounter,YieldCompounding,YieldFrequency))</f>
        <v>3.0179008059535391E-2</v>
      </c>
      <c r="AH26" s="78" t="str">
        <f>_xll.qlZeroCouponBond(,,"EUR",3,"target",$C26,$B26,"f",100)</f>
        <v>obj_00440#0003</v>
      </c>
      <c r="AJ26" s="32"/>
      <c r="AK26" s="32"/>
      <c r="AL26" s="108"/>
      <c r="AM26" s="107"/>
      <c r="AN26" s="107"/>
      <c r="AO26" s="107"/>
    </row>
    <row r="27" spans="1:41" ht="12.75" x14ac:dyDescent="0.2">
      <c r="A27" s="48">
        <f ca="1">_xll.qlYieldTSDiscount(BtpCurve,B27,,PriceTrigger)</f>
        <v>0.69606853241892253</v>
      </c>
      <c r="B27" s="38">
        <v>46266</v>
      </c>
      <c r="C27" s="39">
        <v>2.4999999999999911</v>
      </c>
      <c r="D27" s="60">
        <v>100</v>
      </c>
      <c r="E27" s="38">
        <v>46082</v>
      </c>
      <c r="F27" s="38">
        <v>46266</v>
      </c>
      <c r="G27" s="40">
        <v>184</v>
      </c>
      <c r="H27" s="41" t="str">
        <v>#N/A</v>
      </c>
      <c r="I27" s="40" t="str">
        <v>#N/A</v>
      </c>
      <c r="J27" s="38" t="str">
        <v>#N/A</v>
      </c>
      <c r="K27" s="40" t="str">
        <v>Actual/Actual (ISMA)</v>
      </c>
      <c r="L27" s="42">
        <v>0.5</v>
      </c>
      <c r="M27" s="43">
        <v>0.05</v>
      </c>
      <c r="N27" s="43" t="str">
        <v>#N/A</v>
      </c>
      <c r="O27" s="44" t="str">
        <v>#N/A</v>
      </c>
      <c r="P27" s="43" t="str">
        <v>#N/A</v>
      </c>
      <c r="Q27" s="43" t="str">
        <v>#N/A</v>
      </c>
      <c r="R27" s="43" t="str">
        <v>#N/A</v>
      </c>
      <c r="S27" s="43" t="str">
        <v>#N/A</v>
      </c>
      <c r="T27" s="43" t="str">
        <v>#N/A</v>
      </c>
      <c r="U27" s="41" t="str">
        <v>#N/A</v>
      </c>
      <c r="V27" s="66">
        <f t="shared" ca="1" si="2"/>
        <v>1.7401713310473002</v>
      </c>
      <c r="W27" s="45"/>
      <c r="X27" s="67">
        <f t="shared" ca="1" si="0"/>
        <v>1.7401713310473002</v>
      </c>
      <c r="Y27" s="73">
        <f ca="1">IF(ISERROR(A27),NA(),_xll.qlBondYieldFromCleanPrice(AH27,X27/C27*100,YieldDayCounter,YieldCompounding,YieldFrequency))</f>
        <v>3.1012061270712665E-2</v>
      </c>
      <c r="Z27" s="46"/>
      <c r="AA27" s="74">
        <f t="shared" ca="1" si="3"/>
        <v>3.1012061270712665E-2</v>
      </c>
      <c r="AB27" s="66">
        <f ca="1">IF(ISERROR(A27),IF(ISNUMBER(C27),0,NA()),_xll.qlBondCleanPriceFromYield(AH27,AA27,YieldDayCounter,YieldCompounding,YieldFrequency))</f>
        <v>69.606853230544843</v>
      </c>
      <c r="AC27" s="45"/>
      <c r="AD27" s="67">
        <f t="shared" ca="1" si="1"/>
        <v>69.606853230544843</v>
      </c>
      <c r="AE27" s="66">
        <f t="shared" ca="1" si="4"/>
        <v>1.7401713307636149</v>
      </c>
      <c r="AF27" s="77">
        <f t="shared" ca="1" si="5"/>
        <v>69.606853230544843</v>
      </c>
      <c r="AG27" s="74">
        <f ca="1">IF(ISERROR(A27),NA(),_xll.qlBondYieldFromCleanPrice(AH27,AF27,YieldDayCounter,YieldCompounding,YieldFrequency))</f>
        <v>3.1012061284880869E-2</v>
      </c>
      <c r="AH27" s="78" t="str">
        <f>_xll.qlZeroCouponBond(,,"EUR",3,"target",$C27,$B27,"f",100)</f>
        <v>obj_0045f#0003</v>
      </c>
      <c r="AJ27" s="32"/>
      <c r="AK27" s="32"/>
      <c r="AL27" s="108"/>
      <c r="AM27" s="107"/>
      <c r="AN27" s="107"/>
      <c r="AO27" s="107"/>
    </row>
    <row r="28" spans="1:41" ht="12.75" x14ac:dyDescent="0.2">
      <c r="A28" s="48">
        <f ca="1">_xll.qlYieldTSDiscount(BtpCurve,B28,,PriceTrigger)</f>
        <v>0.67554274907969702</v>
      </c>
      <c r="B28" s="38">
        <v>46447</v>
      </c>
      <c r="C28" s="39">
        <v>2.4999999999999911</v>
      </c>
      <c r="D28" s="60">
        <v>100</v>
      </c>
      <c r="E28" s="38">
        <v>46266</v>
      </c>
      <c r="F28" s="38">
        <v>46447</v>
      </c>
      <c r="G28" s="40">
        <v>181</v>
      </c>
      <c r="H28" s="41" t="str">
        <v>#N/A</v>
      </c>
      <c r="I28" s="40" t="str">
        <v>#N/A</v>
      </c>
      <c r="J28" s="38" t="str">
        <v>#N/A</v>
      </c>
      <c r="K28" s="40" t="str">
        <v>Actual/Actual (ISMA)</v>
      </c>
      <c r="L28" s="42">
        <v>0.5</v>
      </c>
      <c r="M28" s="43">
        <v>0.05</v>
      </c>
      <c r="N28" s="43" t="str">
        <v>#N/A</v>
      </c>
      <c r="O28" s="44" t="str">
        <v>#N/A</v>
      </c>
      <c r="P28" s="43" t="str">
        <v>#N/A</v>
      </c>
      <c r="Q28" s="43" t="str">
        <v>#N/A</v>
      </c>
      <c r="R28" s="43" t="str">
        <v>#N/A</v>
      </c>
      <c r="S28" s="43" t="str">
        <v>#N/A</v>
      </c>
      <c r="T28" s="43" t="str">
        <v>#N/A</v>
      </c>
      <c r="U28" s="41" t="str">
        <v>#N/A</v>
      </c>
      <c r="V28" s="66">
        <f t="shared" ca="1" si="2"/>
        <v>1.6888568726992366</v>
      </c>
      <c r="W28" s="45"/>
      <c r="X28" s="67">
        <f t="shared" ca="1" si="0"/>
        <v>1.6888568726992366</v>
      </c>
      <c r="Y28" s="73">
        <f ca="1">IF(ISERROR(A28),NA(),_xll.qlBondYieldFromCleanPrice(AH28,X28/C28*100,YieldDayCounter,YieldCompounding,YieldFrequency))</f>
        <v>3.2246347981107489E-2</v>
      </c>
      <c r="Z28" s="46"/>
      <c r="AA28" s="74">
        <f t="shared" ca="1" si="3"/>
        <v>3.2246347981107489E-2</v>
      </c>
      <c r="AB28" s="66">
        <f ca="1">IF(ISERROR(A28),IF(ISNUMBER(C28),0,NA()),_xll.qlBondCleanPriceFromYield(AH28,AA28,YieldDayCounter,YieldCompounding,YieldFrequency))</f>
        <v>67.554274883420248</v>
      </c>
      <c r="AC28" s="45"/>
      <c r="AD28" s="67">
        <f t="shared" ca="1" si="1"/>
        <v>67.554274883420248</v>
      </c>
      <c r="AE28" s="66">
        <f t="shared" ca="1" si="4"/>
        <v>1.6888568720855002</v>
      </c>
      <c r="AF28" s="77">
        <f t="shared" ca="1" si="5"/>
        <v>67.554274883420248</v>
      </c>
      <c r="AG28" s="74">
        <f ca="1">IF(ISERROR(A28),NA(),_xll.qlBondYieldFromCleanPrice(AH28,AF28,YieldDayCounter,YieldCompounding,YieldFrequency))</f>
        <v>3.2246348011459605E-2</v>
      </c>
      <c r="AH28" s="78" t="str">
        <f>_xll.qlZeroCouponBond(,,"EUR",3,"target",$C28,$B28,"f",100)</f>
        <v>obj_0045a#0003</v>
      </c>
      <c r="AJ28" s="32"/>
      <c r="AK28" s="32"/>
      <c r="AL28" s="108"/>
      <c r="AM28" s="107"/>
      <c r="AN28" s="107"/>
      <c r="AO28" s="107"/>
    </row>
    <row r="29" spans="1:41" ht="12.75" x14ac:dyDescent="0.2">
      <c r="A29" s="48">
        <f ca="1">_xll.qlYieldTSDiscount(BtpCurve,B29,,PriceTrigger)</f>
        <v>0.65804185260206383</v>
      </c>
      <c r="B29" s="38">
        <v>46631</v>
      </c>
      <c r="C29" s="39">
        <v>2.4999999999999911</v>
      </c>
      <c r="D29" s="60">
        <v>100</v>
      </c>
      <c r="E29" s="38">
        <v>46447</v>
      </c>
      <c r="F29" s="38">
        <v>46631</v>
      </c>
      <c r="G29" s="40">
        <v>184</v>
      </c>
      <c r="H29" s="41" t="str">
        <v>#N/A</v>
      </c>
      <c r="I29" s="40" t="str">
        <v>#N/A</v>
      </c>
      <c r="J29" s="38" t="str">
        <v>#N/A</v>
      </c>
      <c r="K29" s="40" t="str">
        <v>Actual/Actual (ISMA)</v>
      </c>
      <c r="L29" s="42">
        <v>0.5</v>
      </c>
      <c r="M29" s="43">
        <v>0.05</v>
      </c>
      <c r="N29" s="43" t="str">
        <v>#N/A</v>
      </c>
      <c r="O29" s="44" t="str">
        <v>#N/A</v>
      </c>
      <c r="P29" s="43" t="str">
        <v>#N/A</v>
      </c>
      <c r="Q29" s="43" t="str">
        <v>#N/A</v>
      </c>
      <c r="R29" s="43" t="str">
        <v>#N/A</v>
      </c>
      <c r="S29" s="43" t="str">
        <v>#N/A</v>
      </c>
      <c r="T29" s="43" t="str">
        <v>#N/A</v>
      </c>
      <c r="U29" s="41" t="str">
        <v>#N/A</v>
      </c>
      <c r="V29" s="66">
        <f t="shared" ca="1" si="2"/>
        <v>1.6451046315051536</v>
      </c>
      <c r="W29" s="45"/>
      <c r="X29" s="67">
        <f t="shared" ca="1" si="0"/>
        <v>1.6451046315051536</v>
      </c>
      <c r="Y29" s="73">
        <f ca="1">IF(ISERROR(A29),NA(),_xll.qlBondYieldFromCleanPrice(AH29,X29/C29*100,YieldDayCounter,YieldCompounding,YieldFrequency))</f>
        <v>3.3069133809144322E-2</v>
      </c>
      <c r="Z29" s="46"/>
      <c r="AA29" s="74">
        <f t="shared" ca="1" si="3"/>
        <v>3.3069133809144322E-2</v>
      </c>
      <c r="AB29" s="66">
        <f ca="1">IF(ISERROR(A29),IF(ISNUMBER(C29),0,NA()),_xll.qlBondCleanPriceFromYield(AH29,AA29,YieldDayCounter,YieldCompounding,YieldFrequency))</f>
        <v>65.804185291928718</v>
      </c>
      <c r="AC29" s="45"/>
      <c r="AD29" s="67">
        <f t="shared" ca="1" si="1"/>
        <v>65.804185291928718</v>
      </c>
      <c r="AE29" s="66">
        <f t="shared" ca="1" si="4"/>
        <v>1.6451046322982121</v>
      </c>
      <c r="AF29" s="77">
        <f t="shared" ca="1" si="5"/>
        <v>65.804185291928718</v>
      </c>
      <c r="AG29" s="74">
        <f ca="1">IF(ISERROR(A29),NA(),_xll.qlBondYieldFromCleanPrice(AH29,AF29,YieldDayCounter,YieldCompounding,YieldFrequency))</f>
        <v>3.3069133770427563E-2</v>
      </c>
      <c r="AH29" s="78" t="str">
        <f>_xll.qlZeroCouponBond(,,"EUR",3,"target",$C29,$B29,"f",100)</f>
        <v>obj_00458#0003</v>
      </c>
      <c r="AJ29" s="32"/>
      <c r="AK29" s="32"/>
      <c r="AL29" s="108"/>
      <c r="AM29" s="107"/>
      <c r="AN29" s="107"/>
      <c r="AO29" s="107"/>
    </row>
    <row r="30" spans="1:41" ht="12.75" x14ac:dyDescent="0.2">
      <c r="A30" s="48">
        <f ca="1">_xll.qlYieldTSDiscount(BtpCurve,B30,,PriceTrigger)</f>
        <v>0.64334279742077372</v>
      </c>
      <c r="B30" s="38">
        <v>46813</v>
      </c>
      <c r="C30" s="39">
        <v>2.4999999999999911</v>
      </c>
      <c r="D30" s="60">
        <v>100</v>
      </c>
      <c r="E30" s="38">
        <v>46631</v>
      </c>
      <c r="F30" s="38">
        <v>46813</v>
      </c>
      <c r="G30" s="40">
        <v>182</v>
      </c>
      <c r="H30" s="41" t="str">
        <v>#N/A</v>
      </c>
      <c r="I30" s="40" t="str">
        <v>#N/A</v>
      </c>
      <c r="J30" s="38" t="str">
        <v>#N/A</v>
      </c>
      <c r="K30" s="40" t="str">
        <v>Actual/Actual (ISMA)</v>
      </c>
      <c r="L30" s="42">
        <v>0.5</v>
      </c>
      <c r="M30" s="43">
        <v>0.05</v>
      </c>
      <c r="N30" s="43" t="str">
        <v>#N/A</v>
      </c>
      <c r="O30" s="44" t="str">
        <v>#N/A</v>
      </c>
      <c r="P30" s="43" t="str">
        <v>#N/A</v>
      </c>
      <c r="Q30" s="43" t="str">
        <v>#N/A</v>
      </c>
      <c r="R30" s="43" t="str">
        <v>#N/A</v>
      </c>
      <c r="S30" s="43" t="str">
        <v>#N/A</v>
      </c>
      <c r="T30" s="43" t="str">
        <v>#N/A</v>
      </c>
      <c r="U30" s="41" t="str">
        <v>#N/A</v>
      </c>
      <c r="V30" s="66">
        <f t="shared" ca="1" si="2"/>
        <v>1.6083569935519286</v>
      </c>
      <c r="W30" s="45"/>
      <c r="X30" s="67">
        <f t="shared" ca="1" si="0"/>
        <v>1.6083569935519286</v>
      </c>
      <c r="Y30" s="73">
        <f ca="1">IF(ISERROR(A30),NA(),_xll.qlBondYieldFromCleanPrice(AH30,X30/C30*100,YieldDayCounter,YieldCompounding,YieldFrequency))</f>
        <v>3.3568623351269811E-2</v>
      </c>
      <c r="Z30" s="46"/>
      <c r="AA30" s="74">
        <f t="shared" ca="1" si="3"/>
        <v>3.3568623351269811E-2</v>
      </c>
      <c r="AB30" s="66">
        <f ca="1">IF(ISERROR(A30),IF(ISNUMBER(C30),0,NA()),_xll.qlBondCleanPriceFromYield(AH30,AA30,YieldDayCounter,YieldCompounding,YieldFrequency))</f>
        <v>64.334279712571728</v>
      </c>
      <c r="AC30" s="45"/>
      <c r="AD30" s="67">
        <f t="shared" ca="1" si="1"/>
        <v>64.334279712571728</v>
      </c>
      <c r="AE30" s="66">
        <f t="shared" ca="1" si="4"/>
        <v>1.6083569928142876</v>
      </c>
      <c r="AF30" s="77">
        <f t="shared" ca="1" si="5"/>
        <v>64.334279712571728</v>
      </c>
      <c r="AG30" s="74">
        <f ca="1">IF(ISERROR(A30),NA(),_xll.qlBondYieldFromCleanPrice(AH30,AF30,YieldDayCounter,YieldCompounding,YieldFrequency))</f>
        <v>3.3568623386753524E-2</v>
      </c>
      <c r="AH30" s="78" t="str">
        <f>_xll.qlZeroCouponBond(,,"EUR",3,"target",$C30,$B30,"f",100)</f>
        <v>obj_00457#0003</v>
      </c>
      <c r="AJ30" s="32"/>
      <c r="AK30" s="32"/>
      <c r="AL30" s="108"/>
      <c r="AM30" s="107"/>
      <c r="AN30" s="107"/>
      <c r="AO30" s="107"/>
    </row>
    <row r="31" spans="1:41" ht="12.75" x14ac:dyDescent="0.2">
      <c r="A31" s="48">
        <f ca="1">_xll.qlYieldTSDiscount(BtpCurve,B31,,PriceTrigger)</f>
        <v>0.62961150668139987</v>
      </c>
      <c r="B31" s="38">
        <v>46997</v>
      </c>
      <c r="C31" s="39">
        <v>2.4999999999999911</v>
      </c>
      <c r="D31" s="60">
        <v>100</v>
      </c>
      <c r="E31" s="38">
        <v>46813</v>
      </c>
      <c r="F31" s="38">
        <v>46997</v>
      </c>
      <c r="G31" s="40">
        <v>184</v>
      </c>
      <c r="H31" s="41" t="str">
        <v>#N/A</v>
      </c>
      <c r="I31" s="40" t="str">
        <v>#N/A</v>
      </c>
      <c r="J31" s="38" t="str">
        <v>#N/A</v>
      </c>
      <c r="K31" s="40" t="str">
        <v>Actual/Actual (ISMA)</v>
      </c>
      <c r="L31" s="42">
        <v>0.5</v>
      </c>
      <c r="M31" s="43">
        <v>0.05</v>
      </c>
      <c r="N31" s="43" t="str">
        <v>#N/A</v>
      </c>
      <c r="O31" s="44" t="str">
        <v>#N/A</v>
      </c>
      <c r="P31" s="43" t="str">
        <v>#N/A</v>
      </c>
      <c r="Q31" s="43" t="str">
        <v>#N/A</v>
      </c>
      <c r="R31" s="43" t="str">
        <v>#N/A</v>
      </c>
      <c r="S31" s="43" t="str">
        <v>#N/A</v>
      </c>
      <c r="T31" s="43" t="str">
        <v>#N/A</v>
      </c>
      <c r="U31" s="41" t="str">
        <v>#N/A</v>
      </c>
      <c r="V31" s="66">
        <f t="shared" ca="1" si="2"/>
        <v>1.574028766703494</v>
      </c>
      <c r="W31" s="45"/>
      <c r="X31" s="67">
        <f t="shared" ca="1" si="0"/>
        <v>1.574028766703494</v>
      </c>
      <c r="Y31" s="73">
        <f ca="1">IF(ISERROR(A31),NA(),_xll.qlBondYieldFromCleanPrice(AH31,X31/C31*100,YieldDayCounter,YieldCompounding,YieldFrequency))</f>
        <v>3.3936270941711998E-2</v>
      </c>
      <c r="Z31" s="46"/>
      <c r="AA31" s="74">
        <f t="shared" ca="1" si="3"/>
        <v>3.3936270941711998E-2</v>
      </c>
      <c r="AB31" s="66">
        <f ca="1">IF(ISERROR(A31),IF(ISNUMBER(C31),0,NA()),_xll.qlBondCleanPriceFromYield(AH31,AA31,YieldDayCounter,YieldCompounding,YieldFrequency))</f>
        <v>62.961150644174637</v>
      </c>
      <c r="AC31" s="45"/>
      <c r="AD31" s="67">
        <f t="shared" ca="1" si="1"/>
        <v>62.961150644174637</v>
      </c>
      <c r="AE31" s="66">
        <f t="shared" ca="1" si="4"/>
        <v>1.5740287661043604</v>
      </c>
      <c r="AF31" s="77">
        <f t="shared" ca="1" si="5"/>
        <v>62.961150644174637</v>
      </c>
      <c r="AG31" s="74">
        <f ca="1">IF(ISERROR(A31),NA(),_xll.qlBondYieldFromCleanPrice(AH31,AF31,YieldDayCounter,YieldCompounding,YieldFrequency))</f>
        <v>3.3936270970100796E-2</v>
      </c>
      <c r="AH31" s="78" t="str">
        <f>_xll.qlZeroCouponBond(,,"EUR",3,"target",$C31,$B31,"f",100)</f>
        <v>obj_00443#0003</v>
      </c>
      <c r="AJ31" s="32"/>
      <c r="AK31" s="32"/>
      <c r="AL31" s="108"/>
      <c r="AM31" s="107"/>
      <c r="AN31" s="107"/>
      <c r="AO31" s="107"/>
    </row>
    <row r="32" spans="1:41" ht="12.75" x14ac:dyDescent="0.2">
      <c r="A32" s="48">
        <f ca="1">_xll.qlYieldTSDiscount(BtpCurve,B32,,PriceTrigger)</f>
        <v>0.61581169532469393</v>
      </c>
      <c r="B32" s="38">
        <v>47178</v>
      </c>
      <c r="C32" s="39">
        <v>2.4999999999999911</v>
      </c>
      <c r="D32" s="60">
        <v>100</v>
      </c>
      <c r="E32" s="38">
        <v>46997</v>
      </c>
      <c r="F32" s="38">
        <v>47178</v>
      </c>
      <c r="G32" s="40">
        <v>181</v>
      </c>
      <c r="H32" s="41" t="str">
        <v>#N/A</v>
      </c>
      <c r="I32" s="40" t="str">
        <v>#N/A</v>
      </c>
      <c r="J32" s="38" t="str">
        <v>#N/A</v>
      </c>
      <c r="K32" s="40" t="str">
        <v>Actual/Actual (ISMA)</v>
      </c>
      <c r="L32" s="42">
        <v>0.5</v>
      </c>
      <c r="M32" s="43">
        <v>0.05</v>
      </c>
      <c r="N32" s="43" t="str">
        <v>#N/A</v>
      </c>
      <c r="O32" s="44" t="str">
        <v>#N/A</v>
      </c>
      <c r="P32" s="43" t="str">
        <v>#N/A</v>
      </c>
      <c r="Q32" s="43" t="str">
        <v>#N/A</v>
      </c>
      <c r="R32" s="43" t="str">
        <v>#N/A</v>
      </c>
      <c r="S32" s="43" t="str">
        <v>#N/A</v>
      </c>
      <c r="T32" s="43" t="str">
        <v>#N/A</v>
      </c>
      <c r="U32" s="41" t="str">
        <v>#N/A</v>
      </c>
      <c r="V32" s="66">
        <f t="shared" ca="1" si="2"/>
        <v>1.5395292383117294</v>
      </c>
      <c r="W32" s="45"/>
      <c r="X32" s="67">
        <f t="shared" ca="1" si="0"/>
        <v>1.5395292383117294</v>
      </c>
      <c r="Y32" s="73">
        <f ca="1">IF(ISERROR(A32),NA(),_xll.qlBondYieldFromCleanPrice(AH32,X32/C32*100,YieldDayCounter,YieldCompounding,YieldFrequency))</f>
        <v>3.4340474544303695E-2</v>
      </c>
      <c r="Z32" s="46"/>
      <c r="AA32" s="74">
        <f t="shared" ca="1" si="3"/>
        <v>3.4340474544303695E-2</v>
      </c>
      <c r="AB32" s="66">
        <f ca="1">IF(ISERROR(A32),IF(ISNUMBER(C32),0,NA()),_xll.qlBondCleanPriceFromYield(AH32,AA32,YieldDayCounter,YieldCompounding,YieldFrequency))</f>
        <v>61.581169514264417</v>
      </c>
      <c r="AC32" s="45"/>
      <c r="AD32" s="67">
        <f t="shared" ca="1" si="1"/>
        <v>61.581169514264417</v>
      </c>
      <c r="AE32" s="66">
        <f t="shared" ca="1" si="4"/>
        <v>1.539529237856605</v>
      </c>
      <c r="AF32" s="77">
        <f t="shared" ca="1" si="5"/>
        <v>61.581169514264417</v>
      </c>
      <c r="AG32" s="74">
        <f ca="1">IF(ISERROR(A32),NA(),_xll.qlBondYieldFromCleanPrice(AH32,AF32,YieldDayCounter,YieldCompounding,YieldFrequency))</f>
        <v>3.4340474565598959E-2</v>
      </c>
      <c r="AH32" s="78" t="str">
        <f>_xll.qlZeroCouponBond(,,"EUR",3,"target",$C32,$B32,"f",100)</f>
        <v>obj_00452#0003</v>
      </c>
      <c r="AJ32" s="32"/>
      <c r="AK32" s="32"/>
      <c r="AL32" s="108"/>
      <c r="AM32" s="107"/>
      <c r="AN32" s="107"/>
      <c r="AO32" s="107"/>
    </row>
    <row r="33" spans="1:41" ht="12.75" x14ac:dyDescent="0.2">
      <c r="A33" s="48">
        <f ca="1">_xll.qlYieldTSDiscount(BtpCurve,B33,,PriceTrigger)</f>
        <v>0.60165761767557391</v>
      </c>
      <c r="B33" s="38">
        <v>47364</v>
      </c>
      <c r="C33" s="39">
        <v>2.4999999999999911</v>
      </c>
      <c r="D33" s="60">
        <v>100</v>
      </c>
      <c r="E33" s="38">
        <v>47178</v>
      </c>
      <c r="F33" s="38">
        <v>47362</v>
      </c>
      <c r="G33" s="40">
        <v>184</v>
      </c>
      <c r="H33" s="41" t="str">
        <v>#N/A</v>
      </c>
      <c r="I33" s="40" t="str">
        <v>#N/A</v>
      </c>
      <c r="J33" s="38" t="str">
        <v>#N/A</v>
      </c>
      <c r="K33" s="40" t="str">
        <v>Actual/Actual (ISMA)</v>
      </c>
      <c r="L33" s="42">
        <v>0.5</v>
      </c>
      <c r="M33" s="43">
        <v>0.05</v>
      </c>
      <c r="N33" s="43" t="str">
        <v>#N/A</v>
      </c>
      <c r="O33" s="44" t="str">
        <v>#N/A</v>
      </c>
      <c r="P33" s="43" t="str">
        <v>#N/A</v>
      </c>
      <c r="Q33" s="43" t="str">
        <v>#N/A</v>
      </c>
      <c r="R33" s="43" t="str">
        <v>#N/A</v>
      </c>
      <c r="S33" s="43" t="str">
        <v>#N/A</v>
      </c>
      <c r="T33" s="43" t="str">
        <v>#N/A</v>
      </c>
      <c r="U33" s="41" t="str">
        <v>#N/A</v>
      </c>
      <c r="V33" s="66">
        <f t="shared" ca="1" si="2"/>
        <v>1.5041440441889293</v>
      </c>
      <c r="W33" s="45"/>
      <c r="X33" s="67">
        <f t="shared" ca="1" si="0"/>
        <v>1.5041440441889293</v>
      </c>
      <c r="Y33" s="73">
        <f ca="1">IF(ISERROR(A33),NA(),_xll.qlBondYieldFromCleanPrice(AH33,X33/C33*100,YieldDayCounter,YieldCompounding,YieldFrequency))</f>
        <v>3.4761219654076199E-2</v>
      </c>
      <c r="Z33" s="46"/>
      <c r="AA33" s="74">
        <f t="shared" ca="1" si="3"/>
        <v>3.4761219654076199E-2</v>
      </c>
      <c r="AB33" s="66">
        <f ca="1">IF(ISERROR(A33),IF(ISNUMBER(C33),0,NA()),_xll.qlBondCleanPriceFromYield(AH33,AA33,YieldDayCounter,YieldCompounding,YieldFrequency))</f>
        <v>60.165761794648958</v>
      </c>
      <c r="AC33" s="45"/>
      <c r="AD33" s="67">
        <f t="shared" ca="1" si="1"/>
        <v>60.165761794648958</v>
      </c>
      <c r="AE33" s="66">
        <f t="shared" ca="1" si="4"/>
        <v>1.5041440448662184</v>
      </c>
      <c r="AF33" s="77">
        <f t="shared" ca="1" si="5"/>
        <v>60.165761794648958</v>
      </c>
      <c r="AG33" s="74">
        <f ca="1">IF(ISERROR(A33),NA(),_xll.qlBondYieldFromCleanPrice(AH33,AF33,YieldDayCounter,YieldCompounding,YieldFrequency))</f>
        <v>3.4761219622739058E-2</v>
      </c>
      <c r="AH33" s="78" t="str">
        <f>_xll.qlZeroCouponBond(,,"EUR",3,"target",$C33,$B33,"f",100)</f>
        <v>obj_0046d#0003</v>
      </c>
      <c r="AJ33" s="32"/>
      <c r="AK33" s="32"/>
      <c r="AL33" s="108"/>
      <c r="AM33" s="107"/>
      <c r="AN33" s="107"/>
      <c r="AO33" s="107"/>
    </row>
    <row r="34" spans="1:41" ht="12.75" x14ac:dyDescent="0.2">
      <c r="A34" s="48">
        <f ca="1">_xll.qlYieldTSDiscount(BtpCurve,B34,,PriceTrigger)</f>
        <v>0.58868535697740865</v>
      </c>
      <c r="B34" s="38">
        <v>47543</v>
      </c>
      <c r="C34" s="39">
        <v>2.4999999999999911</v>
      </c>
      <c r="D34" s="60">
        <v>100</v>
      </c>
      <c r="E34" s="38">
        <v>47362</v>
      </c>
      <c r="F34" s="38">
        <v>47543</v>
      </c>
      <c r="G34" s="40">
        <v>181</v>
      </c>
      <c r="H34" s="41" t="str">
        <v>#N/A</v>
      </c>
      <c r="I34" s="40" t="str">
        <v>#N/A</v>
      </c>
      <c r="J34" s="38" t="str">
        <v>#N/A</v>
      </c>
      <c r="K34" s="40" t="str">
        <v>Actual/Actual (ISMA)</v>
      </c>
      <c r="L34" s="42">
        <v>0.5</v>
      </c>
      <c r="M34" s="43">
        <v>0.05</v>
      </c>
      <c r="N34" s="43" t="str">
        <v>#N/A</v>
      </c>
      <c r="O34" s="44" t="str">
        <v>#N/A</v>
      </c>
      <c r="P34" s="43" t="str">
        <v>#N/A</v>
      </c>
      <c r="Q34" s="43" t="str">
        <v>#N/A</v>
      </c>
      <c r="R34" s="43" t="str">
        <v>#N/A</v>
      </c>
      <c r="S34" s="43" t="str">
        <v>#N/A</v>
      </c>
      <c r="T34" s="43" t="str">
        <v>#N/A</v>
      </c>
      <c r="U34" s="41" t="str">
        <v>#N/A</v>
      </c>
      <c r="V34" s="66">
        <f t="shared" ca="1" si="2"/>
        <v>1.4717133924435164</v>
      </c>
      <c r="W34" s="45"/>
      <c r="X34" s="67">
        <f t="shared" ca="1" si="0"/>
        <v>1.4717133924435164</v>
      </c>
      <c r="Y34" s="73">
        <f ca="1">IF(ISERROR(A34),NA(),_xll.qlBondYieldFromCleanPrice(AH34,X34/C34*100,YieldDayCounter,YieldCompounding,YieldFrequency))</f>
        <v>3.5100764364791079E-2</v>
      </c>
      <c r="Z34" s="46"/>
      <c r="AA34" s="74">
        <f t="shared" ca="1" si="3"/>
        <v>3.5100764364791079E-2</v>
      </c>
      <c r="AB34" s="66">
        <f ca="1">IF(ISERROR(A34),IF(ISNUMBER(C34),0,NA()),_xll.qlBondCleanPriceFromYield(AH34,AA34,YieldDayCounter,YieldCompounding,YieldFrequency))</f>
        <v>58.868535724219505</v>
      </c>
      <c r="AC34" s="45"/>
      <c r="AD34" s="67">
        <f t="shared" ca="1" si="1"/>
        <v>58.868535724219505</v>
      </c>
      <c r="AE34" s="66">
        <f t="shared" ca="1" si="4"/>
        <v>1.4717133931054824</v>
      </c>
      <c r="AF34" s="77">
        <f t="shared" ca="1" si="5"/>
        <v>58.868535724219505</v>
      </c>
      <c r="AG34" s="74">
        <f ca="1">IF(ISERROR(A34),NA(),_xll.qlBondYieldFromCleanPrice(AH34,AF34,YieldDayCounter,YieldCompounding,YieldFrequency))</f>
        <v>3.5100764334477584E-2</v>
      </c>
      <c r="AH34" s="78" t="str">
        <f>_xll.qlZeroCouponBond(,,"EUR",3,"target",$C34,$B34,"f",100)</f>
        <v>obj_00446#0003</v>
      </c>
      <c r="AJ34" s="32"/>
      <c r="AK34" s="32"/>
      <c r="AL34" s="108"/>
      <c r="AM34" s="107"/>
      <c r="AN34" s="107"/>
      <c r="AO34" s="107"/>
    </row>
    <row r="35" spans="1:41" ht="12.75" x14ac:dyDescent="0.2">
      <c r="A35" s="48">
        <f ca="1">_xll.qlYieldTSDiscount(BtpCurve,B35,,PriceTrigger)</f>
        <v>0.57590071683575528</v>
      </c>
      <c r="B35" s="38">
        <v>47728</v>
      </c>
      <c r="C35" s="39">
        <v>2.4999999999999911</v>
      </c>
      <c r="D35" s="60">
        <v>100</v>
      </c>
      <c r="E35" s="38">
        <v>47543</v>
      </c>
      <c r="F35" s="38">
        <v>47727</v>
      </c>
      <c r="G35" s="40">
        <v>184</v>
      </c>
      <c r="H35" s="41" t="str">
        <v>#N/A</v>
      </c>
      <c r="I35" s="40" t="str">
        <v>#N/A</v>
      </c>
      <c r="J35" s="38" t="str">
        <v>#N/A</v>
      </c>
      <c r="K35" s="40" t="str">
        <v>Actual/Actual (ISMA)</v>
      </c>
      <c r="L35" s="42">
        <v>0.5</v>
      </c>
      <c r="M35" s="43">
        <v>0.05</v>
      </c>
      <c r="N35" s="43" t="str">
        <v>#N/A</v>
      </c>
      <c r="O35" s="44" t="str">
        <v>#N/A</v>
      </c>
      <c r="P35" s="43" t="str">
        <v>#N/A</v>
      </c>
      <c r="Q35" s="43" t="str">
        <v>#N/A</v>
      </c>
      <c r="R35" s="43" t="str">
        <v>#N/A</v>
      </c>
      <c r="S35" s="43" t="str">
        <v>#N/A</v>
      </c>
      <c r="T35" s="43" t="str">
        <v>#N/A</v>
      </c>
      <c r="U35" s="41" t="str">
        <v>#N/A</v>
      </c>
      <c r="V35" s="66">
        <f t="shared" ca="1" si="2"/>
        <v>1.439751792089383</v>
      </c>
      <c r="W35" s="45"/>
      <c r="X35" s="67">
        <f t="shared" ca="1" si="0"/>
        <v>1.439751792089383</v>
      </c>
      <c r="Y35" s="73">
        <f ca="1">IF(ISERROR(A35),NA(),_xll.qlBondYieldFromCleanPrice(AH35,X35/C35*100,YieldDayCounter,YieldCompounding,YieldFrequency))</f>
        <v>3.5392491116018214E-2</v>
      </c>
      <c r="Z35" s="46"/>
      <c r="AA35" s="74">
        <f t="shared" ca="1" si="3"/>
        <v>3.5392491116018214E-2</v>
      </c>
      <c r="AB35" s="66">
        <f ca="1">IF(ISERROR(A35),IF(ISNUMBER(C35),0,NA()),_xll.qlBondCleanPriceFromYield(AH35,AA35,YieldDayCounter,YieldCompounding,YieldFrequency))</f>
        <v>57.590071670540013</v>
      </c>
      <c r="AC35" s="45"/>
      <c r="AD35" s="67">
        <f t="shared" ca="1" si="1"/>
        <v>57.590071670540013</v>
      </c>
      <c r="AE35" s="66">
        <f t="shared" ca="1" si="4"/>
        <v>1.4397517917634952</v>
      </c>
      <c r="AF35" s="77">
        <f t="shared" ca="1" si="5"/>
        <v>57.590071670540013</v>
      </c>
      <c r="AG35" s="74">
        <f ca="1">IF(ISERROR(A35),NA(),_xll.qlBondYieldFromCleanPrice(AH35,AF35,YieldDayCounter,YieldCompounding,YieldFrequency))</f>
        <v>3.5392491130789669E-2</v>
      </c>
      <c r="AH35" s="78" t="str">
        <f>_xll.qlZeroCouponBond(,,"EUR",3,"target",$C35,$B35,"f",100)</f>
        <v>obj_0044f#0003</v>
      </c>
      <c r="AJ35" s="32"/>
      <c r="AK35" s="32"/>
      <c r="AL35" s="108"/>
      <c r="AM35" s="107"/>
      <c r="AN35" s="107"/>
      <c r="AO35" s="107"/>
    </row>
    <row r="36" spans="1:41" ht="12.75" x14ac:dyDescent="0.2">
      <c r="A36" s="48">
        <f ca="1">_xll.qlYieldTSDiscount(BtpCurve,B36,,PriceTrigger)</f>
        <v>0.56350123481581571</v>
      </c>
      <c r="B36" s="38">
        <v>47910</v>
      </c>
      <c r="C36" s="39">
        <v>2.4999999999999911</v>
      </c>
      <c r="D36" s="60">
        <v>100</v>
      </c>
      <c r="E36" s="38">
        <v>47727</v>
      </c>
      <c r="F36" s="38">
        <v>47908</v>
      </c>
      <c r="G36" s="40">
        <v>181</v>
      </c>
      <c r="H36" s="41" t="str">
        <v>#N/A</v>
      </c>
      <c r="I36" s="40" t="str">
        <v>#N/A</v>
      </c>
      <c r="J36" s="38" t="str">
        <v>#N/A</v>
      </c>
      <c r="K36" s="40" t="str">
        <v>Actual/Actual (ISMA)</v>
      </c>
      <c r="L36" s="42">
        <v>0.5</v>
      </c>
      <c r="M36" s="43">
        <v>0.05</v>
      </c>
      <c r="N36" s="43" t="str">
        <v>#N/A</v>
      </c>
      <c r="O36" s="44" t="str">
        <v>#N/A</v>
      </c>
      <c r="P36" s="43" t="str">
        <v>#N/A</v>
      </c>
      <c r="Q36" s="43" t="str">
        <v>#N/A</v>
      </c>
      <c r="R36" s="43" t="str">
        <v>#N/A</v>
      </c>
      <c r="S36" s="43" t="str">
        <v>#N/A</v>
      </c>
      <c r="T36" s="43" t="str">
        <v>#N/A</v>
      </c>
      <c r="U36" s="41" t="str">
        <v>#N/A</v>
      </c>
      <c r="V36" s="66">
        <f t="shared" ca="1" si="2"/>
        <v>1.4087530870395342</v>
      </c>
      <c r="W36" s="45"/>
      <c r="X36" s="67">
        <f t="shared" ca="1" si="0"/>
        <v>1.4087530870395342</v>
      </c>
      <c r="Y36" s="73">
        <f ca="1">IF(ISERROR(A36),NA(),_xll.qlBondYieldFromCleanPrice(AH36,X36/C36*100,YieldDayCounter,YieldCompounding,YieldFrequency))</f>
        <v>3.5672384115657957E-2</v>
      </c>
      <c r="Z36" s="46"/>
      <c r="AA36" s="74">
        <f t="shared" ca="1" si="3"/>
        <v>3.5672384115657957E-2</v>
      </c>
      <c r="AB36" s="66">
        <f ca="1">IF(ISERROR(A36),IF(ISNUMBER(C36),0,NA()),_xll.qlBondCleanPriceFromYield(AH36,AA36,YieldDayCounter,YieldCompounding,YieldFrequency))</f>
        <v>56.350123465002774</v>
      </c>
      <c r="AC36" s="45"/>
      <c r="AD36" s="67">
        <f t="shared" ca="1" si="1"/>
        <v>56.350123465002774</v>
      </c>
      <c r="AE36" s="66">
        <f t="shared" ca="1" si="4"/>
        <v>1.4087530866250644</v>
      </c>
      <c r="AF36" s="77">
        <f t="shared" ca="1" si="5"/>
        <v>56.350123465002774</v>
      </c>
      <c r="AG36" s="74">
        <f ca="1">IF(ISERROR(A36),NA(),_xll.qlBondYieldFromCleanPrice(AH36,AF36,YieldDayCounter,YieldCompounding,YieldFrequency))</f>
        <v>3.5672384134277993E-2</v>
      </c>
      <c r="AH36" s="78" t="str">
        <f>_xll.qlZeroCouponBond(,,"EUR",3,"target",$C36,$B36,"f",100)</f>
        <v>obj_0046e#0003</v>
      </c>
      <c r="AJ36" s="32"/>
      <c r="AK36" s="32"/>
      <c r="AL36" s="108"/>
      <c r="AM36" s="107"/>
      <c r="AN36" s="107"/>
      <c r="AO36" s="107"/>
    </row>
    <row r="37" spans="1:41" ht="12.75" x14ac:dyDescent="0.2">
      <c r="A37" s="48">
        <f ca="1">_xll.qlYieldTSDiscount(BtpCurve,B37,,PriceTrigger)</f>
        <v>0.55089194460098578</v>
      </c>
      <c r="B37" s="38">
        <v>48092</v>
      </c>
      <c r="C37" s="39">
        <v>2.4999999999999911</v>
      </c>
      <c r="D37" s="60">
        <v>100</v>
      </c>
      <c r="E37" s="38">
        <v>47908</v>
      </c>
      <c r="F37" s="38">
        <v>48092</v>
      </c>
      <c r="G37" s="40">
        <v>184</v>
      </c>
      <c r="H37" s="41" t="str">
        <v>#N/A</v>
      </c>
      <c r="I37" s="40" t="str">
        <v>#N/A</v>
      </c>
      <c r="J37" s="38" t="str">
        <v>#N/A</v>
      </c>
      <c r="K37" s="40" t="str">
        <v>Actual/Actual (ISMA)</v>
      </c>
      <c r="L37" s="42">
        <v>0.5</v>
      </c>
      <c r="M37" s="43">
        <v>0.05</v>
      </c>
      <c r="N37" s="43" t="str">
        <v>#N/A</v>
      </c>
      <c r="O37" s="44" t="str">
        <v>#N/A</v>
      </c>
      <c r="P37" s="43" t="str">
        <v>#N/A</v>
      </c>
      <c r="Q37" s="43" t="str">
        <v>#N/A</v>
      </c>
      <c r="R37" s="43" t="str">
        <v>#N/A</v>
      </c>
      <c r="S37" s="43" t="str">
        <v>#N/A</v>
      </c>
      <c r="T37" s="43" t="str">
        <v>#N/A</v>
      </c>
      <c r="U37" s="41" t="str">
        <v>#N/A</v>
      </c>
      <c r="V37" s="66">
        <f t="shared" ca="1" si="2"/>
        <v>1.3772298615024596</v>
      </c>
      <c r="W37" s="45"/>
      <c r="X37" s="67">
        <f t="shared" ca="1" si="0"/>
        <v>1.3772298615024596</v>
      </c>
      <c r="Y37" s="73">
        <f ca="1">IF(ISERROR(A37),NA(),_xll.qlBondYieldFromCleanPrice(AH37,X37/C37*100,YieldDayCounter,YieldCompounding,YieldFrequency))</f>
        <v>3.5988939429292294E-2</v>
      </c>
      <c r="Z37" s="46"/>
      <c r="AA37" s="74">
        <f t="shared" ca="1" si="3"/>
        <v>3.5988939429292294E-2</v>
      </c>
      <c r="AB37" s="66">
        <f ca="1">IF(ISERROR(A37),IF(ISNUMBER(C37),0,NA()),_xll.qlBondCleanPriceFromYield(AH37,AA37,YieldDayCounter,YieldCompounding,YieldFrequency))</f>
        <v>55.089194469411339</v>
      </c>
      <c r="AC37" s="45"/>
      <c r="AD37" s="67">
        <f t="shared" ca="1" si="1"/>
        <v>55.089194469411339</v>
      </c>
      <c r="AE37" s="66">
        <f t="shared" ref="AE37:AE67" ca="1" si="6">AF37/100*C37</f>
        <v>1.3772298617352785</v>
      </c>
      <c r="AF37" s="77">
        <f t="shared" ca="1" si="5"/>
        <v>55.089194469411339</v>
      </c>
      <c r="AG37" s="74">
        <f ca="1">IF(ISERROR(A37),NA(),_xll.qlBondYieldFromCleanPrice(AH37,AF37,YieldDayCounter,YieldCompounding,YieldFrequency))</f>
        <v>3.5988939418906699E-2</v>
      </c>
      <c r="AH37" s="78" t="str">
        <f>_xll.qlZeroCouponBond(,,"EUR",3,"target",$C37,$B37,"f",100)</f>
        <v>obj_00442#0003</v>
      </c>
      <c r="AJ37" s="32"/>
      <c r="AK37" s="32"/>
      <c r="AL37" s="108"/>
      <c r="AM37" s="107"/>
      <c r="AN37" s="107"/>
      <c r="AO37" s="107"/>
    </row>
    <row r="38" spans="1:41" ht="12.75" x14ac:dyDescent="0.2">
      <c r="A38" s="48">
        <f ca="1">_xll.qlYieldTSDiscount(BtpCurve,B38,,PriceTrigger)</f>
        <v>0.53796534340205759</v>
      </c>
      <c r="B38" s="38">
        <v>48274</v>
      </c>
      <c r="C38" s="39">
        <v>2.4999999999999911</v>
      </c>
      <c r="D38" s="60">
        <v>100</v>
      </c>
      <c r="E38" s="38">
        <v>48092</v>
      </c>
      <c r="F38" s="38">
        <v>48274</v>
      </c>
      <c r="G38" s="40">
        <v>182</v>
      </c>
      <c r="H38" s="41" t="str">
        <v>#N/A</v>
      </c>
      <c r="I38" s="40" t="str">
        <v>#N/A</v>
      </c>
      <c r="J38" s="38" t="str">
        <v>#N/A</v>
      </c>
      <c r="K38" s="40" t="str">
        <v>Actual/Actual (ISMA)</v>
      </c>
      <c r="L38" s="42">
        <v>0.5</v>
      </c>
      <c r="M38" s="43">
        <v>0.05</v>
      </c>
      <c r="N38" s="43" t="str">
        <v>#N/A</v>
      </c>
      <c r="O38" s="44" t="str">
        <v>#N/A</v>
      </c>
      <c r="P38" s="43" t="str">
        <v>#N/A</v>
      </c>
      <c r="Q38" s="43" t="str">
        <v>#N/A</v>
      </c>
      <c r="R38" s="43" t="str">
        <v>#N/A</v>
      </c>
      <c r="S38" s="43" t="str">
        <v>#N/A</v>
      </c>
      <c r="T38" s="43" t="str">
        <v>#N/A</v>
      </c>
      <c r="U38" s="41" t="str">
        <v>#N/A</v>
      </c>
      <c r="V38" s="66">
        <f t="shared" ca="1" si="2"/>
        <v>1.3449133585051392</v>
      </c>
      <c r="W38" s="45"/>
      <c r="X38" s="67">
        <f t="shared" ca="1" si="0"/>
        <v>1.3449133585051392</v>
      </c>
      <c r="Y38" s="73">
        <f ca="1">IF(ISERROR(A38),NA(),_xll.qlBondYieldFromCleanPrice(AH38,X38/C38*100,YieldDayCounter,YieldCompounding,YieldFrequency))</f>
        <v>3.6359717953756199E-2</v>
      </c>
      <c r="Z38" s="46"/>
      <c r="AA38" s="74">
        <f t="shared" ca="1" si="3"/>
        <v>3.6359717953756199E-2</v>
      </c>
      <c r="AB38" s="66">
        <f ca="1">IF(ISERROR(A38),IF(ISNUMBER(C38),0,NA()),_xll.qlBondCleanPriceFromYield(AH38,AA38,YieldDayCounter,YieldCompounding,YieldFrequency))</f>
        <v>53.796534355212906</v>
      </c>
      <c r="AC38" s="45"/>
      <c r="AD38" s="67">
        <f t="shared" ca="1" si="1"/>
        <v>53.796534355212906</v>
      </c>
      <c r="AE38" s="66">
        <f t="shared" ca="1" si="6"/>
        <v>1.3449133588803179</v>
      </c>
      <c r="AF38" s="77">
        <f t="shared" ca="1" si="5"/>
        <v>53.796534355212906</v>
      </c>
      <c r="AG38" s="74">
        <f ca="1">IF(ISERROR(A38),NA(),_xll.qlBondYieldFromCleanPrice(AH38,AF38,YieldDayCounter,YieldCompounding,YieldFrequency))</f>
        <v>3.6359717937101646E-2</v>
      </c>
      <c r="AH38" s="78" t="str">
        <f>_xll.qlZeroCouponBond(,,"EUR",3,"target",$C38,$B38,"f",100)</f>
        <v>obj_0043d#0003</v>
      </c>
      <c r="AJ38" s="32"/>
      <c r="AK38" s="32"/>
      <c r="AL38" s="108"/>
      <c r="AM38" s="107"/>
      <c r="AN38" s="107"/>
      <c r="AO38" s="107"/>
    </row>
    <row r="39" spans="1:41" ht="12.75" x14ac:dyDescent="0.2">
      <c r="A39" s="48">
        <f ca="1">_xll.qlYieldTSDiscount(BtpCurve,B39,,PriceTrigger)</f>
        <v>0.52463106576870078</v>
      </c>
      <c r="B39" s="38">
        <v>48458</v>
      </c>
      <c r="C39" s="39">
        <v>2.4999999999999911</v>
      </c>
      <c r="D39" s="60">
        <v>100</v>
      </c>
      <c r="E39" s="38">
        <v>48274</v>
      </c>
      <c r="F39" s="38">
        <v>48458</v>
      </c>
      <c r="G39" s="40">
        <v>184</v>
      </c>
      <c r="H39" s="41" t="str">
        <v>#N/A</v>
      </c>
      <c r="I39" s="40" t="str">
        <v>#N/A</v>
      </c>
      <c r="J39" s="38" t="str">
        <v>#N/A</v>
      </c>
      <c r="K39" s="40" t="str">
        <v>Actual/Actual (ISMA)</v>
      </c>
      <c r="L39" s="42">
        <v>0.5</v>
      </c>
      <c r="M39" s="43">
        <v>0.05</v>
      </c>
      <c r="N39" s="43" t="str">
        <v>#N/A</v>
      </c>
      <c r="O39" s="44" t="str">
        <v>#N/A</v>
      </c>
      <c r="P39" s="43" t="str">
        <v>#N/A</v>
      </c>
      <c r="Q39" s="43" t="str">
        <v>#N/A</v>
      </c>
      <c r="R39" s="43" t="str">
        <v>#N/A</v>
      </c>
      <c r="S39" s="43" t="str">
        <v>#N/A</v>
      </c>
      <c r="T39" s="43" t="str">
        <v>#N/A</v>
      </c>
      <c r="U39" s="41" t="str">
        <v>#N/A</v>
      </c>
      <c r="V39" s="66">
        <f t="shared" ca="1" si="2"/>
        <v>1.3115776644217474</v>
      </c>
      <c r="W39" s="45"/>
      <c r="X39" s="67">
        <f t="shared" ca="1" si="0"/>
        <v>1.3115776644217474</v>
      </c>
      <c r="Y39" s="73">
        <f ca="1">IF(ISERROR(A39),NA(),_xll.qlBondYieldFromCleanPrice(AH39,X39/C39*100,YieldDayCounter,YieldCompounding,YieldFrequency))</f>
        <v>3.6771427077457626E-2</v>
      </c>
      <c r="Z39" s="46"/>
      <c r="AA39" s="74">
        <f t="shared" ca="1" si="3"/>
        <v>3.6771427077457626E-2</v>
      </c>
      <c r="AB39" s="66">
        <f ca="1">IF(ISERROR(A39),IF(ISNUMBER(C39),0,NA()),_xll.qlBondCleanPriceFromYield(AH39,AA39,YieldDayCounter,YieldCompounding,YieldFrequency))</f>
        <v>52.463106567979111</v>
      </c>
      <c r="AC39" s="45"/>
      <c r="AD39" s="67">
        <f t="shared" ca="1" si="1"/>
        <v>52.463106567979111</v>
      </c>
      <c r="AE39" s="66">
        <f t="shared" ca="1" si="6"/>
        <v>1.3115776641994732</v>
      </c>
      <c r="AF39" s="77">
        <f t="shared" ca="1" si="5"/>
        <v>52.463106567979111</v>
      </c>
      <c r="AG39" s="74">
        <f ca="1">IF(ISERROR(A39),NA(),_xll.qlBondYieldFromCleanPrice(AH39,AF39,YieldDayCounter,YieldCompounding,YieldFrequency))</f>
        <v>3.6771427087293709E-2</v>
      </c>
      <c r="AH39" s="78" t="str">
        <f>_xll.qlZeroCouponBond(,,"EUR",3,"target",$C39,$B39,"f",100)</f>
        <v>obj_0044d#0003</v>
      </c>
      <c r="AJ39" s="32"/>
      <c r="AK39" s="32"/>
      <c r="AL39" s="108"/>
      <c r="AM39" s="107"/>
      <c r="AN39" s="107"/>
      <c r="AO39" s="107"/>
    </row>
    <row r="40" spans="1:41" ht="12.75" x14ac:dyDescent="0.2">
      <c r="A40" s="48">
        <f ca="1">_xll.qlYieldTSDiscount(BtpCurve,B40,,PriceTrigger)</f>
        <v>0.51131021996182191</v>
      </c>
      <c r="B40" s="38">
        <v>48639</v>
      </c>
      <c r="C40" s="39">
        <v>2.4999999999999911</v>
      </c>
      <c r="D40" s="60">
        <v>100</v>
      </c>
      <c r="E40" s="38">
        <v>48458</v>
      </c>
      <c r="F40" s="38">
        <v>48639</v>
      </c>
      <c r="G40" s="40">
        <v>181</v>
      </c>
      <c r="H40" s="41" t="str">
        <v>#N/A</v>
      </c>
      <c r="I40" s="40" t="str">
        <v>#N/A</v>
      </c>
      <c r="J40" s="38" t="str">
        <v>#N/A</v>
      </c>
      <c r="K40" s="40" t="str">
        <v>Actual/Actual (ISMA)</v>
      </c>
      <c r="L40" s="42">
        <v>0.5</v>
      </c>
      <c r="M40" s="43">
        <v>0.05</v>
      </c>
      <c r="N40" s="43" t="str">
        <v>#N/A</v>
      </c>
      <c r="O40" s="44" t="str">
        <v>#N/A</v>
      </c>
      <c r="P40" s="43" t="str">
        <v>#N/A</v>
      </c>
      <c r="Q40" s="43" t="str">
        <v>#N/A</v>
      </c>
      <c r="R40" s="43" t="str">
        <v>#N/A</v>
      </c>
      <c r="S40" s="43" t="str">
        <v>#N/A</v>
      </c>
      <c r="T40" s="43" t="str">
        <v>#N/A</v>
      </c>
      <c r="U40" s="41" t="str">
        <v>#N/A</v>
      </c>
      <c r="V40" s="66">
        <f t="shared" ca="1" si="2"/>
        <v>1.2782755499045502</v>
      </c>
      <c r="W40" s="45"/>
      <c r="X40" s="67">
        <f t="shared" ca="1" si="0"/>
        <v>1.2782755499045502</v>
      </c>
      <c r="Y40" s="73">
        <f ca="1">IF(ISERROR(A40),NA(),_xll.qlBondYieldFromCleanPrice(AH40,X40/C40*100,YieldDayCounter,YieldCompounding,YieldFrequency))</f>
        <v>3.7212652472649092E-2</v>
      </c>
      <c r="Z40" s="46"/>
      <c r="AA40" s="74">
        <f t="shared" ca="1" si="3"/>
        <v>3.7212652472649092E-2</v>
      </c>
      <c r="AB40" s="66">
        <f ca="1">IF(ISERROR(A40),IF(ISNUMBER(C40),0,NA()),_xll.qlBondCleanPriceFromYield(AH40,AA40,YieldDayCounter,YieldCompounding,YieldFrequency))</f>
        <v>51.131021987282274</v>
      </c>
      <c r="AC40" s="45"/>
      <c r="AD40" s="67">
        <f t="shared" ca="1" si="1"/>
        <v>51.131021987282274</v>
      </c>
      <c r="AE40" s="66">
        <f t="shared" ca="1" si="6"/>
        <v>1.2782755496820524</v>
      </c>
      <c r="AF40" s="77">
        <f t="shared" ca="1" si="5"/>
        <v>51.131021987282274</v>
      </c>
      <c r="AG40" s="74">
        <f ca="1">IF(ISERROR(A40),NA(),_xll.qlBondYieldFromCleanPrice(AH40,AF40,YieldDayCounter,YieldCompounding,YieldFrequency))</f>
        <v>3.7212652482482775E-2</v>
      </c>
      <c r="AH40" s="78" t="str">
        <f>_xll.qlZeroCouponBond(,,"EUR",3,"target",$C40,$B40,"f",100)</f>
        <v>obj_0043f#0003</v>
      </c>
      <c r="AJ40" s="32"/>
      <c r="AK40" s="32"/>
      <c r="AL40" s="108"/>
      <c r="AM40" s="107"/>
      <c r="AN40" s="107"/>
      <c r="AO40" s="107"/>
    </row>
    <row r="41" spans="1:41" ht="12.75" x14ac:dyDescent="0.2">
      <c r="A41" s="48">
        <f ca="1">_xll.qlYieldTSDiscount(BtpCurve,B41,,PriceTrigger)</f>
        <v>0.49780938869974062</v>
      </c>
      <c r="B41" s="38">
        <v>48823</v>
      </c>
      <c r="C41" s="39">
        <v>2.4999999999999911</v>
      </c>
      <c r="D41" s="60">
        <v>100</v>
      </c>
      <c r="E41" s="38">
        <v>48639</v>
      </c>
      <c r="F41" s="38">
        <v>48823</v>
      </c>
      <c r="G41" s="40">
        <v>184</v>
      </c>
      <c r="H41" s="41" t="str">
        <v>#N/A</v>
      </c>
      <c r="I41" s="40" t="str">
        <v>#N/A</v>
      </c>
      <c r="J41" s="38" t="str">
        <v>#N/A</v>
      </c>
      <c r="K41" s="40" t="str">
        <v>Actual/Actual (ISMA)</v>
      </c>
      <c r="L41" s="42">
        <v>0.5</v>
      </c>
      <c r="M41" s="43">
        <v>0.05</v>
      </c>
      <c r="N41" s="43" t="str">
        <v>#N/A</v>
      </c>
      <c r="O41" s="44" t="str">
        <v>#N/A</v>
      </c>
      <c r="P41" s="43" t="str">
        <v>#N/A</v>
      </c>
      <c r="Q41" s="43" t="str">
        <v>#N/A</v>
      </c>
      <c r="R41" s="43" t="str">
        <v>#N/A</v>
      </c>
      <c r="S41" s="43" t="str">
        <v>#N/A</v>
      </c>
      <c r="T41" s="43" t="str">
        <v>#N/A</v>
      </c>
      <c r="U41" s="41" t="str">
        <v>#N/A</v>
      </c>
      <c r="V41" s="66">
        <f t="shared" ca="1" si="2"/>
        <v>1.2445234717493472</v>
      </c>
      <c r="W41" s="45"/>
      <c r="X41" s="67">
        <f t="shared" ca="1" si="0"/>
        <v>1.2445234717493472</v>
      </c>
      <c r="Y41" s="73">
        <f ca="1">IF(ISERROR(A41),NA(),_xll.qlBondYieldFromCleanPrice(AH41,X41/C41*100,YieldDayCounter,YieldCompounding,YieldFrequency))</f>
        <v>3.7671375039121602E-2</v>
      </c>
      <c r="Z41" s="46"/>
      <c r="AA41" s="74">
        <f t="shared" ca="1" si="3"/>
        <v>3.7671375039121602E-2</v>
      </c>
      <c r="AB41" s="66">
        <f ca="1">IF(ISERROR(A41),IF(ISNUMBER(C41),0,NA()),_xll.qlBondCleanPriceFromYield(AH41,AA41,YieldDayCounter,YieldCompounding,YieldFrequency))</f>
        <v>49.780938864196528</v>
      </c>
      <c r="AC41" s="45"/>
      <c r="AD41" s="67">
        <f t="shared" ca="1" si="1"/>
        <v>49.780938864196528</v>
      </c>
      <c r="AE41" s="66">
        <f t="shared" ca="1" si="6"/>
        <v>1.2445234716049087</v>
      </c>
      <c r="AF41" s="77">
        <f t="shared" ca="1" si="5"/>
        <v>49.780938864196528</v>
      </c>
      <c r="AG41" s="74">
        <f ca="1">IF(ISERROR(A41),NA(),_xll.qlBondYieldFromCleanPrice(AH41,AF41,YieldDayCounter,YieldCompounding,YieldFrequency))</f>
        <v>3.7671375045506175E-2</v>
      </c>
      <c r="AH41" s="78" t="str">
        <f>_xll.qlZeroCouponBond(,,"EUR",3,"target",$C41,$B41,"f",100)</f>
        <v>obj_00448#0003</v>
      </c>
      <c r="AJ41" s="32"/>
      <c r="AK41" s="32"/>
      <c r="AL41" s="108"/>
      <c r="AM41" s="107"/>
      <c r="AN41" s="107"/>
      <c r="AO41" s="107"/>
    </row>
    <row r="42" spans="1:41" ht="12.75" x14ac:dyDescent="0.2">
      <c r="A42" s="48">
        <f ca="1">_xll.qlYieldTSDiscount(BtpCurve,B42,,PriceTrigger)</f>
        <v>0.48525140418342599</v>
      </c>
      <c r="B42" s="38">
        <v>49004</v>
      </c>
      <c r="C42" s="39">
        <v>2.4999999999999911</v>
      </c>
      <c r="D42" s="60">
        <v>100</v>
      </c>
      <c r="E42" s="38">
        <v>48823</v>
      </c>
      <c r="F42" s="38">
        <v>49004</v>
      </c>
      <c r="G42" s="40">
        <v>181</v>
      </c>
      <c r="H42" s="41" t="str">
        <v>#N/A</v>
      </c>
      <c r="I42" s="40" t="str">
        <v>#N/A</v>
      </c>
      <c r="J42" s="38" t="str">
        <v>#N/A</v>
      </c>
      <c r="K42" s="40" t="str">
        <v>Actual/Actual (ISMA)</v>
      </c>
      <c r="L42" s="42">
        <v>0.5</v>
      </c>
      <c r="M42" s="43">
        <v>0.05</v>
      </c>
      <c r="N42" s="43" t="str">
        <v>#N/A</v>
      </c>
      <c r="O42" s="44" t="str">
        <v>#N/A</v>
      </c>
      <c r="P42" s="43" t="str">
        <v>#N/A</v>
      </c>
      <c r="Q42" s="43" t="str">
        <v>#N/A</v>
      </c>
      <c r="R42" s="43" t="str">
        <v>#N/A</v>
      </c>
      <c r="S42" s="43" t="str">
        <v>#N/A</v>
      </c>
      <c r="T42" s="43" t="str">
        <v>#N/A</v>
      </c>
      <c r="U42" s="41" t="str">
        <v>#N/A</v>
      </c>
      <c r="V42" s="66">
        <f t="shared" ca="1" si="2"/>
        <v>1.2131285104585607</v>
      </c>
      <c r="W42" s="45"/>
      <c r="X42" s="67">
        <f t="shared" ca="1" si="0"/>
        <v>1.2131285104585607</v>
      </c>
      <c r="Y42" s="73">
        <f ca="1">IF(ISERROR(A42),NA(),_xll.qlBondYieldFromCleanPrice(AH42,X42/C42*100,YieldDayCounter,YieldCompounding,YieldFrequency))</f>
        <v>3.8058051548217189E-2</v>
      </c>
      <c r="Z42" s="46"/>
      <c r="AA42" s="74">
        <f t="shared" ca="1" si="3"/>
        <v>3.8058051548217189E-2</v>
      </c>
      <c r="AB42" s="66">
        <f ca="1">IF(ISERROR(A42),IF(ISNUMBER(C42),0,NA()),_xll.qlBondCleanPriceFromYield(AH42,AA42,YieldDayCounter,YieldCompounding,YieldFrequency))</f>
        <v>48.525140425361364</v>
      </c>
      <c r="AC42" s="45"/>
      <c r="AD42" s="67">
        <f t="shared" ca="1" si="1"/>
        <v>48.525140425361364</v>
      </c>
      <c r="AE42" s="66">
        <f t="shared" ca="1" si="6"/>
        <v>1.2131285106340297</v>
      </c>
      <c r="AF42" s="77">
        <f t="shared" ca="1" si="5"/>
        <v>48.525140425361364</v>
      </c>
      <c r="AG42" s="74">
        <f ca="1">IF(ISERROR(A42),NA(),_xll.qlBondYieldFromCleanPrice(AH42,AF42,YieldDayCounter,YieldCompounding,YieldFrequency))</f>
        <v>3.8058051540461282E-2</v>
      </c>
      <c r="AH42" s="78" t="str">
        <f>_xll.qlZeroCouponBond(,,"EUR",3,"target",$C42,$B42,"f",100)</f>
        <v>obj_00460#0003</v>
      </c>
      <c r="AJ42" s="32"/>
      <c r="AK42" s="32"/>
      <c r="AL42" s="108"/>
      <c r="AM42" s="107"/>
      <c r="AN42" s="107"/>
      <c r="AO42" s="107"/>
    </row>
    <row r="43" spans="1:41" ht="12.75" x14ac:dyDescent="0.2">
      <c r="A43" s="48">
        <f ca="1">_xll.qlYieldTSDiscount(BtpCurve,B43,,PriceTrigger)</f>
        <v>0.47391795407696163</v>
      </c>
      <c r="B43" s="38">
        <v>49188</v>
      </c>
      <c r="C43" s="39">
        <v>2.4999999999999911</v>
      </c>
      <c r="D43" s="60">
        <v>100</v>
      </c>
      <c r="E43" s="38">
        <v>49004</v>
      </c>
      <c r="F43" s="38">
        <v>49188</v>
      </c>
      <c r="G43" s="40">
        <v>184</v>
      </c>
      <c r="H43" s="41" t="str">
        <v>#N/A</v>
      </c>
      <c r="I43" s="40" t="str">
        <v>#N/A</v>
      </c>
      <c r="J43" s="38" t="str">
        <v>#N/A</v>
      </c>
      <c r="K43" s="40" t="str">
        <v>Actual/Actual (ISMA)</v>
      </c>
      <c r="L43" s="42">
        <v>0.5</v>
      </c>
      <c r="M43" s="43">
        <v>0.05</v>
      </c>
      <c r="N43" s="43" t="str">
        <v>#N/A</v>
      </c>
      <c r="O43" s="44" t="str">
        <v>#N/A</v>
      </c>
      <c r="P43" s="43" t="str">
        <v>#N/A</v>
      </c>
      <c r="Q43" s="43" t="str">
        <v>#N/A</v>
      </c>
      <c r="R43" s="43" t="str">
        <v>#N/A</v>
      </c>
      <c r="S43" s="43" t="str">
        <v>#N/A</v>
      </c>
      <c r="T43" s="43" t="str">
        <v>#N/A</v>
      </c>
      <c r="U43" s="41" t="str">
        <v>#N/A</v>
      </c>
      <c r="V43" s="66">
        <f t="shared" ca="1" si="2"/>
        <v>1.1847948851923999</v>
      </c>
      <c r="W43" s="45"/>
      <c r="X43" s="67">
        <f t="shared" ca="1" si="0"/>
        <v>1.1847948851923999</v>
      </c>
      <c r="Y43" s="73">
        <f ca="1">IF(ISERROR(A43),NA(),_xll.qlBondYieldFromCleanPrice(AH43,X43/C43*100,YieldDayCounter,YieldCompounding,YieldFrequency))</f>
        <v>3.8309119374557311E-2</v>
      </c>
      <c r="Z43" s="46"/>
      <c r="AA43" s="74">
        <f t="shared" ca="1" si="3"/>
        <v>3.8309119374557311E-2</v>
      </c>
      <c r="AB43" s="66">
        <f ca="1">IF(ISERROR(A43),IF(ISNUMBER(C43),0,NA()),_xll.qlBondCleanPriceFromYield(AH43,AA43,YieldDayCounter,YieldCompounding,YieldFrequency))</f>
        <v>47.39179540223806</v>
      </c>
      <c r="AC43" s="45"/>
      <c r="AD43" s="67">
        <f t="shared" ca="1" si="1"/>
        <v>47.39179540223806</v>
      </c>
      <c r="AE43" s="66">
        <f t="shared" ca="1" si="6"/>
        <v>1.1847948850559473</v>
      </c>
      <c r="AF43" s="77">
        <f t="shared" ca="1" si="5"/>
        <v>47.39179540223806</v>
      </c>
      <c r="AG43" s="74">
        <f ca="1">IF(ISERROR(A43),NA(),_xll.qlBondYieldFromCleanPrice(AH43,AF43,YieldDayCounter,YieldCompounding,YieldFrequency))</f>
        <v>3.8309119380577752E-2</v>
      </c>
      <c r="AH43" s="78" t="str">
        <f>_xll.qlZeroCouponBond(,,"EUR",3,"target",$C43,$B43,"f",100)</f>
        <v>obj_00464#0003</v>
      </c>
      <c r="AJ43" s="32"/>
      <c r="AK43" s="32"/>
      <c r="AL43" s="108"/>
      <c r="AM43" s="107"/>
      <c r="AN43" s="107"/>
      <c r="AO43" s="107"/>
    </row>
    <row r="44" spans="1:41" ht="12.75" x14ac:dyDescent="0.2">
      <c r="A44" s="48">
        <f ca="1">_xll.qlYieldTSDiscount(BtpCurve,B44,,PriceTrigger)</f>
        <v>0.46439681307373265</v>
      </c>
      <c r="B44" s="38">
        <v>49369</v>
      </c>
      <c r="C44" s="39">
        <v>2.4999999999999911</v>
      </c>
      <c r="D44" s="60">
        <v>100</v>
      </c>
      <c r="E44" s="38">
        <v>49188</v>
      </c>
      <c r="F44" s="38">
        <v>49369</v>
      </c>
      <c r="G44" s="40">
        <v>181</v>
      </c>
      <c r="H44" s="41" t="str">
        <v>#N/A</v>
      </c>
      <c r="I44" s="40" t="str">
        <v>#N/A</v>
      </c>
      <c r="J44" s="38" t="str">
        <v>#N/A</v>
      </c>
      <c r="K44" s="40" t="str">
        <v>Actual/Actual (ISMA)</v>
      </c>
      <c r="L44" s="42">
        <v>0.5</v>
      </c>
      <c r="M44" s="43">
        <v>0.05</v>
      </c>
      <c r="N44" s="43" t="str">
        <v>#N/A</v>
      </c>
      <c r="O44" s="44" t="str">
        <v>#N/A</v>
      </c>
      <c r="P44" s="43" t="str">
        <v>#N/A</v>
      </c>
      <c r="Q44" s="43" t="str">
        <v>#N/A</v>
      </c>
      <c r="R44" s="43" t="str">
        <v>#N/A</v>
      </c>
      <c r="S44" s="43" t="str">
        <v>#N/A</v>
      </c>
      <c r="T44" s="43" t="str">
        <v>#N/A</v>
      </c>
      <c r="U44" s="41" t="str">
        <v>#N/A</v>
      </c>
      <c r="V44" s="66">
        <f t="shared" ca="1" si="2"/>
        <v>1.1609920326843275</v>
      </c>
      <c r="W44" s="45"/>
      <c r="X44" s="67">
        <f t="shared" ca="1" si="0"/>
        <v>1.1609920326843275</v>
      </c>
      <c r="Y44" s="73">
        <f ca="1">IF(ISERROR(A44),NA(),_xll.qlBondYieldFromCleanPrice(AH44,X44/C44*100,YieldDayCounter,YieldCompounding,YieldFrequency))</f>
        <v>3.8393403192616048E-2</v>
      </c>
      <c r="Z44" s="46"/>
      <c r="AA44" s="74">
        <f t="shared" ca="1" si="3"/>
        <v>3.8393403192616048E-2</v>
      </c>
      <c r="AB44" s="66">
        <f ca="1">IF(ISERROR(A44),IF(ISNUMBER(C44),0,NA()),_xll.qlBondCleanPriceFromYield(AH44,AA44,YieldDayCounter,YieldCompounding,YieldFrequency))</f>
        <v>46.43968131340997</v>
      </c>
      <c r="AC44" s="45"/>
      <c r="AD44" s="67">
        <f t="shared" ca="1" si="1"/>
        <v>46.43968131340997</v>
      </c>
      <c r="AE44" s="66">
        <f t="shared" ca="1" si="6"/>
        <v>1.1609920328352452</v>
      </c>
      <c r="AF44" s="77">
        <f t="shared" ca="1" si="5"/>
        <v>46.43968131340997</v>
      </c>
      <c r="AG44" s="74">
        <f ca="1">IF(ISERROR(A44),NA(),_xll.qlBondYieldFromCleanPrice(AH44,AF44,YieldDayCounter,YieldCompounding,YieldFrequency))</f>
        <v>3.8393403185985796E-2</v>
      </c>
      <c r="AH44" s="78" t="str">
        <f>_xll.qlZeroCouponBond(,,"EUR",3,"target",$C44,$B44,"f",100)</f>
        <v>obj_0043c#0003</v>
      </c>
      <c r="AJ44" s="32"/>
      <c r="AK44" s="32"/>
      <c r="AL44" s="108"/>
      <c r="AM44" s="107"/>
      <c r="AN44" s="107"/>
      <c r="AO44" s="107"/>
    </row>
    <row r="45" spans="1:41" ht="12.75" x14ac:dyDescent="0.2">
      <c r="A45" s="48">
        <f ca="1">_xll.qlYieldTSDiscount(BtpCurve,B45,,PriceTrigger)</f>
        <v>0.45549244855096321</v>
      </c>
      <c r="B45" s="38">
        <v>49555</v>
      </c>
      <c r="C45" s="39">
        <v>2.4999999999999911</v>
      </c>
      <c r="D45" s="60">
        <v>100</v>
      </c>
      <c r="E45" s="38">
        <v>49369</v>
      </c>
      <c r="F45" s="38">
        <v>49553</v>
      </c>
      <c r="G45" s="40">
        <v>184</v>
      </c>
      <c r="H45" s="41" t="str">
        <v>#N/A</v>
      </c>
      <c r="I45" s="40" t="str">
        <v>#N/A</v>
      </c>
      <c r="J45" s="38" t="str">
        <v>#N/A</v>
      </c>
      <c r="K45" s="40" t="str">
        <v>Actual/Actual (ISMA)</v>
      </c>
      <c r="L45" s="42">
        <v>0.5</v>
      </c>
      <c r="M45" s="43">
        <v>0.05</v>
      </c>
      <c r="N45" s="43" t="str">
        <v>#N/A</v>
      </c>
      <c r="O45" s="44" t="str">
        <v>#N/A</v>
      </c>
      <c r="P45" s="43" t="str">
        <v>#N/A</v>
      </c>
      <c r="Q45" s="43" t="str">
        <v>#N/A</v>
      </c>
      <c r="R45" s="43" t="str">
        <v>#N/A</v>
      </c>
      <c r="S45" s="43" t="str">
        <v>#N/A</v>
      </c>
      <c r="T45" s="43" t="str">
        <v>#N/A</v>
      </c>
      <c r="U45" s="41" t="str">
        <v>#N/A</v>
      </c>
      <c r="V45" s="66">
        <f t="shared" ca="1" si="2"/>
        <v>1.1387311213774041</v>
      </c>
      <c r="W45" s="45"/>
      <c r="X45" s="67">
        <f t="shared" ca="1" si="0"/>
        <v>1.1387311213774041</v>
      </c>
      <c r="Y45" s="73">
        <f ca="1">IF(ISERROR(A45),NA(),_xll.qlBondYieldFromCleanPrice(AH45,X45/C45*100,YieldDayCounter,YieldCompounding,YieldFrequency))</f>
        <v>3.8401445657601702E-2</v>
      </c>
      <c r="Z45" s="46"/>
      <c r="AA45" s="74">
        <f t="shared" ca="1" si="3"/>
        <v>3.8401445657601702E-2</v>
      </c>
      <c r="AB45" s="66">
        <f ca="1">IF(ISERROR(A45),IF(ISNUMBER(C45),0,NA()),_xll.qlBondCleanPriceFromYield(AH45,AA45,YieldDayCounter,YieldCompounding,YieldFrequency))</f>
        <v>45.549244847309296</v>
      </c>
      <c r="AC45" s="45"/>
      <c r="AD45" s="67">
        <f t="shared" ca="1" si="1"/>
        <v>45.549244847309296</v>
      </c>
      <c r="AE45" s="66">
        <f t="shared" ca="1" si="6"/>
        <v>1.1387311211827282</v>
      </c>
      <c r="AF45" s="77">
        <f t="shared" ca="1" si="5"/>
        <v>45.549244847309296</v>
      </c>
      <c r="AG45" s="74">
        <f ca="1">IF(ISERROR(A45),NA(),_xll.qlBondYieldFromCleanPrice(AH45,AF45,YieldDayCounter,YieldCompounding,YieldFrequency))</f>
        <v>3.8401445666108487E-2</v>
      </c>
      <c r="AH45" s="78" t="str">
        <f>_xll.qlZeroCouponBond(,,"EUR",3,"target",$C45,$B45,"f",100)</f>
        <v>obj_0043e#0003</v>
      </c>
      <c r="AJ45" s="32"/>
      <c r="AK45" s="32"/>
      <c r="AL45" s="108"/>
      <c r="AM45" s="107"/>
      <c r="AN45" s="107"/>
      <c r="AO45" s="107"/>
    </row>
    <row r="46" spans="1:41" ht="12.75" x14ac:dyDescent="0.2">
      <c r="A46" s="48">
        <f ca="1">_xll.qlYieldTSDiscount(BtpCurve,B46,,PriceTrigger)</f>
        <v>0.44677357979591398</v>
      </c>
      <c r="B46" s="38">
        <v>49737</v>
      </c>
      <c r="C46" s="39">
        <v>2.4999999999999911</v>
      </c>
      <c r="D46" s="60">
        <v>100</v>
      </c>
      <c r="E46" s="38">
        <v>49553</v>
      </c>
      <c r="F46" s="38">
        <v>49735</v>
      </c>
      <c r="G46" s="40">
        <v>182</v>
      </c>
      <c r="H46" s="41" t="str">
        <v>#N/A</v>
      </c>
      <c r="I46" s="40" t="str">
        <v>#N/A</v>
      </c>
      <c r="J46" s="38" t="str">
        <v>#N/A</v>
      </c>
      <c r="K46" s="40" t="str">
        <v>Actual/Actual (ISMA)</v>
      </c>
      <c r="L46" s="42">
        <v>0.5</v>
      </c>
      <c r="M46" s="43">
        <v>0.05</v>
      </c>
      <c r="N46" s="43" t="str">
        <v>#N/A</v>
      </c>
      <c r="O46" s="44" t="str">
        <v>#N/A</v>
      </c>
      <c r="P46" s="43" t="str">
        <v>#N/A</v>
      </c>
      <c r="Q46" s="43" t="str">
        <v>#N/A</v>
      </c>
      <c r="R46" s="43" t="str">
        <v>#N/A</v>
      </c>
      <c r="S46" s="43" t="str">
        <v>#N/A</v>
      </c>
      <c r="T46" s="43" t="str">
        <v>#N/A</v>
      </c>
      <c r="U46" s="41" t="str">
        <v>#N/A</v>
      </c>
      <c r="V46" s="66">
        <f t="shared" ca="1" si="2"/>
        <v>1.116933949489781</v>
      </c>
      <c r="W46" s="45"/>
      <c r="X46" s="67">
        <f t="shared" ca="1" si="0"/>
        <v>1.116933949489781</v>
      </c>
      <c r="Y46" s="73">
        <f ca="1">IF(ISERROR(A46),NA(),_xll.qlBondYieldFromCleanPrice(AH46,X46/C46*100,YieldDayCounter,YieldCompounding,YieldFrequency))</f>
        <v>3.8432593453062082E-2</v>
      </c>
      <c r="Z46" s="46"/>
      <c r="AA46" s="74">
        <f t="shared" ca="1" si="3"/>
        <v>3.8432593453062082E-2</v>
      </c>
      <c r="AB46" s="66">
        <f ca="1">IF(ISERROR(A46),IF(ISNUMBER(C46),0,NA()),_xll.qlBondCleanPriceFromYield(AH46,AA46,YieldDayCounter,YieldCompounding,YieldFrequency))</f>
        <v>44.677357978351985</v>
      </c>
      <c r="AC46" s="45"/>
      <c r="AD46" s="67">
        <f t="shared" ca="1" si="1"/>
        <v>44.677357978351985</v>
      </c>
      <c r="AE46" s="66">
        <f t="shared" ca="1" si="6"/>
        <v>1.1169339494587955</v>
      </c>
      <c r="AF46" s="77">
        <f t="shared" ca="1" si="5"/>
        <v>44.677357978351985</v>
      </c>
      <c r="AG46" s="74">
        <f ca="1">IF(ISERROR(A46),NA(),_xll.qlBondYieldFromCleanPrice(AH46,AF46,YieldDayCounter,YieldCompounding,YieldFrequency))</f>
        <v>3.8432593454410462E-2</v>
      </c>
      <c r="AH46" s="78" t="str">
        <f>_xll.qlZeroCouponBond(,,"EUR",3,"target",$C46,$B46,"f",100)</f>
        <v>obj_0046b#0003</v>
      </c>
      <c r="AJ46" s="32"/>
      <c r="AK46" s="32"/>
      <c r="AL46" s="108"/>
      <c r="AM46" s="107"/>
      <c r="AN46" s="107"/>
      <c r="AO46" s="107"/>
    </row>
    <row r="47" spans="1:41" ht="12.75" x14ac:dyDescent="0.2">
      <c r="A47" s="48">
        <f ca="1">_xll.qlYieldTSDiscount(BtpCurve,B47,,PriceTrigger)</f>
        <v>0.43725302136751987</v>
      </c>
      <c r="B47" s="38">
        <v>49919</v>
      </c>
      <c r="C47" s="39">
        <v>2.4999999999999911</v>
      </c>
      <c r="D47" s="60">
        <v>100</v>
      </c>
      <c r="E47" s="38">
        <v>49735</v>
      </c>
      <c r="F47" s="38">
        <v>49919</v>
      </c>
      <c r="G47" s="40">
        <v>184</v>
      </c>
      <c r="H47" s="41" t="str">
        <v>#N/A</v>
      </c>
      <c r="I47" s="40" t="str">
        <v>#N/A</v>
      </c>
      <c r="J47" s="38" t="str">
        <v>#N/A</v>
      </c>
      <c r="K47" s="40" t="str">
        <v>Actual/Actual (ISMA)</v>
      </c>
      <c r="L47" s="42">
        <v>0.5</v>
      </c>
      <c r="M47" s="43">
        <v>0.05</v>
      </c>
      <c r="N47" s="43" t="str">
        <v>#N/A</v>
      </c>
      <c r="O47" s="44" t="str">
        <v>#N/A</v>
      </c>
      <c r="P47" s="43" t="str">
        <v>#N/A</v>
      </c>
      <c r="Q47" s="43" t="str">
        <v>#N/A</v>
      </c>
      <c r="R47" s="43" t="str">
        <v>#N/A</v>
      </c>
      <c r="S47" s="43" t="str">
        <v>#N/A</v>
      </c>
      <c r="T47" s="43" t="str">
        <v>#N/A</v>
      </c>
      <c r="U47" s="41" t="str">
        <v>#N/A</v>
      </c>
      <c r="V47" s="66">
        <f t="shared" ca="1" si="2"/>
        <v>1.0931325534187959</v>
      </c>
      <c r="W47" s="45"/>
      <c r="X47" s="67">
        <f t="shared" ca="1" si="0"/>
        <v>1.0931325534187959</v>
      </c>
      <c r="Y47" s="73">
        <f ca="1">IF(ISERROR(A47),NA(),_xll.qlBondYieldFromCleanPrice(AH47,X47/C47*100,YieldDayCounter,YieldCompounding,YieldFrequency))</f>
        <v>3.8562522802233011E-2</v>
      </c>
      <c r="Z47" s="46"/>
      <c r="AA47" s="74">
        <f t="shared" ca="1" si="3"/>
        <v>3.8562522802233011E-2</v>
      </c>
      <c r="AB47" s="66">
        <f ca="1">IF(ISERROR(A47),IF(ISNUMBER(C47),0,NA()),_xll.qlBondCleanPriceFromYield(AH47,AA47,YieldDayCounter,YieldCompounding,YieldFrequency))</f>
        <v>43.725302137824954</v>
      </c>
      <c r="AC47" s="45"/>
      <c r="AD47" s="67">
        <f t="shared" ca="1" si="1"/>
        <v>43.725302137824954</v>
      </c>
      <c r="AE47" s="66">
        <f t="shared" ca="1" si="6"/>
        <v>1.09313255344562</v>
      </c>
      <c r="AF47" s="77">
        <f t="shared" ca="1" si="5"/>
        <v>43.725302137824954</v>
      </c>
      <c r="AG47" s="74">
        <f ca="1">IF(ISERROR(A47),NA(),_xll.qlBondYieldFromCleanPrice(AH47,AF47,YieldDayCounter,YieldCompounding,YieldFrequency))</f>
        <v>3.8562522801067235E-2</v>
      </c>
      <c r="AH47" s="78" t="str">
        <f>_xll.qlZeroCouponBond(,,"EUR",3,"target",$C47,$B47,"f",100)</f>
        <v>obj_00451#0003</v>
      </c>
      <c r="AJ47" s="32"/>
      <c r="AK47" s="32"/>
      <c r="AL47" s="108"/>
      <c r="AM47" s="107"/>
      <c r="AN47" s="107"/>
      <c r="AO47" s="107"/>
    </row>
    <row r="48" spans="1:41" ht="12.75" x14ac:dyDescent="0.2">
      <c r="A48" s="48">
        <f ca="1">_xll.qlYieldTSDiscount(BtpCurve,B48,,PriceTrigger)</f>
        <v>0.42621385268239304</v>
      </c>
      <c r="B48" s="38">
        <v>50101</v>
      </c>
      <c r="C48" s="39">
        <v>2.4999999999999911</v>
      </c>
      <c r="D48" s="60">
        <v>100</v>
      </c>
      <c r="E48" s="38">
        <v>49919</v>
      </c>
      <c r="F48" s="38">
        <v>50100</v>
      </c>
      <c r="G48" s="40">
        <v>181</v>
      </c>
      <c r="H48" s="41" t="str">
        <v>#N/A</v>
      </c>
      <c r="I48" s="40" t="str">
        <v>#N/A</v>
      </c>
      <c r="J48" s="38" t="str">
        <v>#N/A</v>
      </c>
      <c r="K48" s="40" t="str">
        <v>Actual/Actual (ISMA)</v>
      </c>
      <c r="L48" s="42">
        <v>0.5</v>
      </c>
      <c r="M48" s="43">
        <v>0.05</v>
      </c>
      <c r="N48" s="43" t="str">
        <v>#N/A</v>
      </c>
      <c r="O48" s="44" t="str">
        <v>#N/A</v>
      </c>
      <c r="P48" s="43" t="str">
        <v>#N/A</v>
      </c>
      <c r="Q48" s="43" t="str">
        <v>#N/A</v>
      </c>
      <c r="R48" s="43" t="str">
        <v>#N/A</v>
      </c>
      <c r="S48" s="43" t="str">
        <v>#N/A</v>
      </c>
      <c r="T48" s="43" t="str">
        <v>#N/A</v>
      </c>
      <c r="U48" s="41" t="str">
        <v>#N/A</v>
      </c>
      <c r="V48" s="66">
        <f t="shared" ca="1" si="2"/>
        <v>1.0655346317059788</v>
      </c>
      <c r="W48" s="45"/>
      <c r="X48" s="67">
        <f t="shared" ca="1" si="0"/>
        <v>1.0655346317059788</v>
      </c>
      <c r="Y48" s="73">
        <f ca="1">IF(ISERROR(A48),NA(),_xll.qlBondYieldFromCleanPrice(AH48,X48/C48*100,YieldDayCounter,YieldCompounding,YieldFrequency))</f>
        <v>3.8873922604713541E-2</v>
      </c>
      <c r="Z48" s="46"/>
      <c r="AA48" s="74">
        <f t="shared" ca="1" si="3"/>
        <v>3.8873922604713541E-2</v>
      </c>
      <c r="AB48" s="66">
        <f ca="1">IF(ISERROR(A48),IF(ISNUMBER(C48),0,NA()),_xll.qlBondCleanPriceFromYield(AH48,AA48,YieldDayCounter,YieldCompounding,YieldFrequency))</f>
        <v>42.621385273876292</v>
      </c>
      <c r="AC48" s="45"/>
      <c r="AD48" s="67">
        <f t="shared" ca="1" si="1"/>
        <v>42.621385273876292</v>
      </c>
      <c r="AE48" s="66">
        <f t="shared" ca="1" si="6"/>
        <v>1.0655346318469037</v>
      </c>
      <c r="AF48" s="77">
        <f t="shared" ca="1" si="5"/>
        <v>42.621385273876292</v>
      </c>
      <c r="AG48" s="74">
        <f ca="1">IF(ISERROR(A48),NA(),_xll.qlBondYieldFromCleanPrice(AH48,AF48,YieldDayCounter,YieldCompounding,YieldFrequency))</f>
        <v>3.887392259856931E-2</v>
      </c>
      <c r="AH48" s="78" t="str">
        <f>_xll.qlZeroCouponBond(,,"EUR",3,"target",$C48,$B48,"f",100)</f>
        <v>obj_00441#0003</v>
      </c>
      <c r="AJ48" s="32"/>
      <c r="AK48" s="32"/>
      <c r="AL48" s="108"/>
      <c r="AM48" s="107"/>
      <c r="AN48" s="107"/>
      <c r="AO48" s="107"/>
    </row>
    <row r="49" spans="1:41" ht="12.75" x14ac:dyDescent="0.2">
      <c r="A49" s="48">
        <f ca="1">_xll.qlYieldTSDiscount(BtpCurve,B49,,PriceTrigger)</f>
        <v>0.41330897422333662</v>
      </c>
      <c r="B49" s="38">
        <v>50284</v>
      </c>
      <c r="C49" s="39">
        <v>2.4999999999999911</v>
      </c>
      <c r="D49" s="60">
        <v>100</v>
      </c>
      <c r="E49" s="38">
        <v>50100</v>
      </c>
      <c r="F49" s="38">
        <v>50284</v>
      </c>
      <c r="G49" s="40">
        <v>184</v>
      </c>
      <c r="H49" s="41" t="str">
        <v>#N/A</v>
      </c>
      <c r="I49" s="40" t="str">
        <v>#N/A</v>
      </c>
      <c r="J49" s="38" t="str">
        <v>#N/A</v>
      </c>
      <c r="K49" s="40" t="str">
        <v>Actual/Actual (ISMA)</v>
      </c>
      <c r="L49" s="42">
        <v>0.5</v>
      </c>
      <c r="M49" s="43">
        <v>0.05</v>
      </c>
      <c r="N49" s="43" t="str">
        <v>#N/A</v>
      </c>
      <c r="O49" s="44" t="str">
        <v>#N/A</v>
      </c>
      <c r="P49" s="43" t="str">
        <v>#N/A</v>
      </c>
      <c r="Q49" s="43" t="str">
        <v>#N/A</v>
      </c>
      <c r="R49" s="43" t="str">
        <v>#N/A</v>
      </c>
      <c r="S49" s="43" t="str">
        <v>#N/A</v>
      </c>
      <c r="T49" s="43" t="str">
        <v>#N/A</v>
      </c>
      <c r="U49" s="41" t="str">
        <v>#N/A</v>
      </c>
      <c r="V49" s="66">
        <f t="shared" ca="1" si="2"/>
        <v>1.0332724355583378</v>
      </c>
      <c r="W49" s="45"/>
      <c r="X49" s="67">
        <f t="shared" ca="1" si="0"/>
        <v>1.0332724355583378</v>
      </c>
      <c r="Y49" s="73">
        <f ca="1">IF(ISERROR(A49),NA(),_xll.qlBondYieldFromCleanPrice(AH49,X49/C49*100,YieldDayCounter,YieldCompounding,YieldFrequency))</f>
        <v>3.9402279858603423E-2</v>
      </c>
      <c r="Z49" s="46"/>
      <c r="AA49" s="74">
        <f t="shared" ca="1" si="3"/>
        <v>3.9402279858603423E-2</v>
      </c>
      <c r="AB49" s="66">
        <f ca="1">IF(ISERROR(A49),IF(ISNUMBER(C49),0,NA()),_xll.qlBondCleanPriceFromYield(AH49,AA49,YieldDayCounter,YieldCompounding,YieldFrequency))</f>
        <v>41.330897423817497</v>
      </c>
      <c r="AC49" s="45"/>
      <c r="AD49" s="67">
        <f t="shared" ca="1" si="1"/>
        <v>41.330897423817497</v>
      </c>
      <c r="AE49" s="66">
        <f t="shared" ca="1" si="6"/>
        <v>1.0332724355954337</v>
      </c>
      <c r="AF49" s="77">
        <f t="shared" ca="1" si="5"/>
        <v>41.330897423817497</v>
      </c>
      <c r="AG49" s="74">
        <f ca="1">IF(ISERROR(A49),NA(),_xll.qlBondYieldFromCleanPrice(AH49,AF49,YieldDayCounter,YieldCompounding,YieldFrequency))</f>
        <v>3.9402279856971263E-2</v>
      </c>
      <c r="AH49" s="78" t="str">
        <f>_xll.qlZeroCouponBond(,,"EUR",3,"target",$C49,$B49,"f",100)</f>
        <v>obj_00459#0003</v>
      </c>
      <c r="AJ49" s="32"/>
      <c r="AK49" s="32"/>
      <c r="AL49" s="108"/>
      <c r="AM49" s="107"/>
      <c r="AN49" s="107"/>
      <c r="AO49" s="107"/>
    </row>
    <row r="50" spans="1:41" ht="12.75" x14ac:dyDescent="0.2">
      <c r="A50" s="48">
        <f ca="1">_xll.qlYieldTSDiscount(BtpCurve,B50,,PriceTrigger)</f>
        <v>0.39942302717258293</v>
      </c>
      <c r="B50" s="38">
        <v>50465</v>
      </c>
      <c r="C50" s="39">
        <v>2.4999999999999911</v>
      </c>
      <c r="D50" s="60">
        <v>100</v>
      </c>
      <c r="E50" s="38">
        <v>50284</v>
      </c>
      <c r="F50" s="38">
        <v>50465</v>
      </c>
      <c r="G50" s="40">
        <v>181</v>
      </c>
      <c r="H50" s="41" t="str">
        <v>#N/A</v>
      </c>
      <c r="I50" s="40" t="str">
        <v>#N/A</v>
      </c>
      <c r="J50" s="38" t="str">
        <v>#N/A</v>
      </c>
      <c r="K50" s="40" t="str">
        <v>Actual/Actual (ISMA)</v>
      </c>
      <c r="L50" s="42">
        <v>0.5</v>
      </c>
      <c r="M50" s="43">
        <v>0.05</v>
      </c>
      <c r="N50" s="43" t="str">
        <v>#N/A</v>
      </c>
      <c r="O50" s="44" t="str">
        <v>#N/A</v>
      </c>
      <c r="P50" s="43" t="str">
        <v>#N/A</v>
      </c>
      <c r="Q50" s="43" t="str">
        <v>#N/A</v>
      </c>
      <c r="R50" s="43" t="str">
        <v>#N/A</v>
      </c>
      <c r="S50" s="43" t="str">
        <v>#N/A</v>
      </c>
      <c r="T50" s="43" t="str">
        <v>#N/A</v>
      </c>
      <c r="U50" s="41" t="str">
        <v>#N/A</v>
      </c>
      <c r="V50" s="66">
        <f t="shared" ca="1" si="2"/>
        <v>0.99855756793145378</v>
      </c>
      <c r="W50" s="45"/>
      <c r="X50" s="67">
        <f t="shared" ca="1" si="0"/>
        <v>0.99855756793145378</v>
      </c>
      <c r="Y50" s="73">
        <f ca="1">IF(ISERROR(A50),NA(),_xll.qlBondYieldFromCleanPrice(AH50,X50/C50*100,YieldDayCounter,YieldCompounding,YieldFrequency))</f>
        <v>4.0070407256947271E-2</v>
      </c>
      <c r="Z50" s="46"/>
      <c r="AA50" s="74">
        <f t="shared" ca="1" si="3"/>
        <v>4.0070407256947271E-2</v>
      </c>
      <c r="AB50" s="66">
        <f ca="1">IF(ISERROR(A50),IF(ISNUMBER(C50),0,NA()),_xll.qlBondCleanPriceFromYield(AH50,AA50,YieldDayCounter,YieldCompounding,YieldFrequency))</f>
        <v>39.942302717257334</v>
      </c>
      <c r="AC50" s="45"/>
      <c r="AD50" s="67">
        <f t="shared" ca="1" si="1"/>
        <v>39.942302717257334</v>
      </c>
      <c r="AE50" s="66">
        <f t="shared" ca="1" si="6"/>
        <v>0.9985575679314298</v>
      </c>
      <c r="AF50" s="77">
        <f t="shared" ca="1" si="5"/>
        <v>39.942302717257334</v>
      </c>
      <c r="AG50" s="74">
        <f ca="1">IF(ISERROR(A50),NA(),_xll.qlBondYieldFromCleanPrice(AH50,AF50,YieldDayCounter,YieldCompounding,YieldFrequency))</f>
        <v>4.0070407256948402E-2</v>
      </c>
      <c r="AH50" s="78" t="str">
        <f>_xll.qlZeroCouponBond(,,"EUR",3,"target",$C50,$B50,"f",100)</f>
        <v>obj_00447#0003</v>
      </c>
      <c r="AJ50" s="32"/>
      <c r="AK50" s="32"/>
      <c r="AL50" s="108"/>
      <c r="AM50" s="107"/>
      <c r="AN50" s="107"/>
      <c r="AO50" s="107"/>
    </row>
    <row r="51" spans="1:41" ht="12.75" x14ac:dyDescent="0.2">
      <c r="A51" s="48">
        <f ca="1">_xll.qlYieldTSDiscount(BtpCurve,B51,,PriceTrigger)</f>
        <v>0.3849127714577098</v>
      </c>
      <c r="B51" s="38">
        <v>50649</v>
      </c>
      <c r="C51" s="39">
        <v>2.4999999999999911</v>
      </c>
      <c r="D51" s="60">
        <v>100</v>
      </c>
      <c r="E51" s="38">
        <v>50465</v>
      </c>
      <c r="F51" s="38">
        <v>50649</v>
      </c>
      <c r="G51" s="40">
        <v>184</v>
      </c>
      <c r="H51" s="41" t="str">
        <v>#N/A</v>
      </c>
      <c r="I51" s="40" t="str">
        <v>#N/A</v>
      </c>
      <c r="J51" s="38" t="str">
        <v>#N/A</v>
      </c>
      <c r="K51" s="40" t="str">
        <v>Actual/Actual (ISMA)</v>
      </c>
      <c r="L51" s="42">
        <v>0.5</v>
      </c>
      <c r="M51" s="43">
        <v>0.05</v>
      </c>
      <c r="N51" s="43" t="str">
        <v>#N/A</v>
      </c>
      <c r="O51" s="44" t="str">
        <v>#N/A</v>
      </c>
      <c r="P51" s="43" t="str">
        <v>#N/A</v>
      </c>
      <c r="Q51" s="43" t="str">
        <v>#N/A</v>
      </c>
      <c r="R51" s="43" t="str">
        <v>#N/A</v>
      </c>
      <c r="S51" s="43" t="str">
        <v>#N/A</v>
      </c>
      <c r="T51" s="43" t="str">
        <v>#N/A</v>
      </c>
      <c r="U51" s="41" t="str">
        <v>#N/A</v>
      </c>
      <c r="V51" s="66">
        <f t="shared" ca="1" si="2"/>
        <v>0.96228192864427109</v>
      </c>
      <c r="W51" s="45"/>
      <c r="X51" s="67">
        <f t="shared" ca="1" si="0"/>
        <v>0.96228192864427109</v>
      </c>
      <c r="Y51" s="73">
        <f ca="1">IF(ISERROR(A51),NA(),_xll.qlBondYieldFromCleanPrice(AH51,X51/C51*100,YieldDayCounter,YieldCompounding,YieldFrequency))</f>
        <v>4.0820282105211811E-2</v>
      </c>
      <c r="Z51" s="46"/>
      <c r="AA51" s="74">
        <f t="shared" ca="1" si="3"/>
        <v>4.0820282105211811E-2</v>
      </c>
      <c r="AB51" s="66">
        <f ca="1">IF(ISERROR(A51),IF(ISNUMBER(C51),0,NA()),_xll.qlBondCleanPriceFromYield(AH51,AA51,YieldDayCounter,YieldCompounding,YieldFrequency))</f>
        <v>38.49127714530259</v>
      </c>
      <c r="AC51" s="45"/>
      <c r="AD51" s="67">
        <f t="shared" ca="1" si="1"/>
        <v>38.49127714530259</v>
      </c>
      <c r="AE51" s="66">
        <f t="shared" ca="1" si="6"/>
        <v>0.96228192863256123</v>
      </c>
      <c r="AF51" s="77">
        <f t="shared" ca="1" si="5"/>
        <v>38.49127714530259</v>
      </c>
      <c r="AG51" s="74">
        <f ca="1">IF(ISERROR(A51),NA(),_xll.qlBondYieldFromCleanPrice(AH51,AF51,YieldDayCounter,YieldCompounding,YieldFrequency))</f>
        <v>4.0820282105742553E-2</v>
      </c>
      <c r="AH51" s="78" t="str">
        <f>_xll.qlZeroCouponBond(,,"EUR",3,"target",$C51,$B51,"f",100)</f>
        <v>obj_00465#0003</v>
      </c>
      <c r="AJ51" s="32"/>
      <c r="AK51" s="32"/>
      <c r="AL51" s="108"/>
      <c r="AM51" s="107"/>
      <c r="AN51" s="107"/>
      <c r="AO51" s="107"/>
    </row>
    <row r="52" spans="1:41" ht="12.75" x14ac:dyDescent="0.2">
      <c r="A52" s="48">
        <f ca="1">_xll.qlYieldTSDiscount(BtpCurve,B52,,PriceTrigger)</f>
        <v>0.37089972560658557</v>
      </c>
      <c r="B52" s="38">
        <v>50830</v>
      </c>
      <c r="C52" s="39">
        <v>2.4999999999999911</v>
      </c>
      <c r="D52" s="60">
        <v>100</v>
      </c>
      <c r="E52" s="38">
        <v>50649</v>
      </c>
      <c r="F52" s="38">
        <v>50830</v>
      </c>
      <c r="G52" s="40">
        <v>181</v>
      </c>
      <c r="H52" s="41" t="str">
        <v>#N/A</v>
      </c>
      <c r="I52" s="40" t="str">
        <v>#N/A</v>
      </c>
      <c r="J52" s="38" t="str">
        <v>#N/A</v>
      </c>
      <c r="K52" s="40" t="str">
        <v>Actual/Actual (ISMA)</v>
      </c>
      <c r="L52" s="42">
        <v>0.5</v>
      </c>
      <c r="M52" s="43">
        <v>0.05</v>
      </c>
      <c r="N52" s="43" t="str">
        <v>#N/A</v>
      </c>
      <c r="O52" s="44" t="str">
        <v>#N/A</v>
      </c>
      <c r="P52" s="43" t="str">
        <v>#N/A</v>
      </c>
      <c r="Q52" s="43" t="str">
        <v>#N/A</v>
      </c>
      <c r="R52" s="43" t="str">
        <v>#N/A</v>
      </c>
      <c r="S52" s="43" t="str">
        <v>#N/A</v>
      </c>
      <c r="T52" s="43" t="str">
        <v>#N/A</v>
      </c>
      <c r="U52" s="41" t="str">
        <v>#N/A</v>
      </c>
      <c r="V52" s="66">
        <f t="shared" ca="1" si="2"/>
        <v>0.9272493140164606</v>
      </c>
      <c r="W52" s="45"/>
      <c r="X52" s="67">
        <f t="shared" ca="1" si="0"/>
        <v>0.9272493140164606</v>
      </c>
      <c r="Y52" s="73">
        <f ca="1">IF(ISERROR(A52),NA(),_xll.qlBondYieldFromCleanPrice(AH52,X52/C52*100,YieldDayCounter,YieldCompounding,YieldFrequency))</f>
        <v>4.1557390160525655E-2</v>
      </c>
      <c r="Z52" s="46"/>
      <c r="AA52" s="74">
        <f t="shared" ca="1" si="3"/>
        <v>4.1557390160525655E-2</v>
      </c>
      <c r="AB52" s="66">
        <f ca="1">IF(ISERROR(A52),IF(ISNUMBER(C52),0,NA()),_xll.qlBondCleanPriceFromYield(AH52,AA52,YieldDayCounter,YieldCompounding,YieldFrequency))</f>
        <v>37.089972558927968</v>
      </c>
      <c r="AC52" s="45"/>
      <c r="AD52" s="67">
        <f t="shared" ca="1" si="1"/>
        <v>37.089972558927968</v>
      </c>
      <c r="AE52" s="66">
        <f t="shared" ca="1" si="6"/>
        <v>0.92724931397319599</v>
      </c>
      <c r="AF52" s="77">
        <f t="shared" ca="1" si="5"/>
        <v>37.089972558927968</v>
      </c>
      <c r="AG52" s="74">
        <f ca="1">IF(ISERROR(A52),NA(),_xll.qlBondYieldFromCleanPrice(AH52,AF52,YieldDayCounter,YieldCompounding,YieldFrequency))</f>
        <v>4.1557390162520705E-2</v>
      </c>
      <c r="AH52" s="78" t="str">
        <f>_xll.qlZeroCouponBond(,,"EUR",3,"target",$C52,$B52,"f",100)</f>
        <v>obj_00449#0003</v>
      </c>
      <c r="AJ52" s="32"/>
      <c r="AK52" s="32"/>
      <c r="AL52" s="108"/>
      <c r="AM52" s="107"/>
      <c r="AN52" s="107"/>
      <c r="AO52" s="107"/>
    </row>
    <row r="53" spans="1:41" ht="12.75" x14ac:dyDescent="0.2">
      <c r="A53" s="48">
        <f ca="1">_xll.qlYieldTSDiscount(BtpCurve,B53,,PriceTrigger)</f>
        <v>0.35749146662035186</v>
      </c>
      <c r="B53" s="38">
        <v>51014</v>
      </c>
      <c r="C53" s="39">
        <v>2.4999999999999911</v>
      </c>
      <c r="D53" s="60">
        <v>100</v>
      </c>
      <c r="E53" s="38">
        <v>50830</v>
      </c>
      <c r="F53" s="38">
        <v>51014</v>
      </c>
      <c r="G53" s="40">
        <v>184</v>
      </c>
      <c r="H53" s="41" t="str">
        <v>#N/A</v>
      </c>
      <c r="I53" s="40" t="str">
        <v>#N/A</v>
      </c>
      <c r="J53" s="38" t="str">
        <v>#N/A</v>
      </c>
      <c r="K53" s="40" t="str">
        <v>Actual/Actual (ISMA)</v>
      </c>
      <c r="L53" s="42">
        <v>0.5</v>
      </c>
      <c r="M53" s="43">
        <v>0.05</v>
      </c>
      <c r="N53" s="43" t="str">
        <v>#N/A</v>
      </c>
      <c r="O53" s="44" t="str">
        <v>#N/A</v>
      </c>
      <c r="P53" s="43" t="str">
        <v>#N/A</v>
      </c>
      <c r="Q53" s="43" t="str">
        <v>#N/A</v>
      </c>
      <c r="R53" s="43" t="str">
        <v>#N/A</v>
      </c>
      <c r="S53" s="43" t="str">
        <v>#N/A</v>
      </c>
      <c r="T53" s="43" t="str">
        <v>#N/A</v>
      </c>
      <c r="U53" s="41" t="str">
        <v>#N/A</v>
      </c>
      <c r="V53" s="66">
        <f t="shared" ca="1" si="2"/>
        <v>0.89372866655087646</v>
      </c>
      <c r="W53" s="45"/>
      <c r="X53" s="67">
        <f t="shared" ca="1" si="0"/>
        <v>0.89372866655087646</v>
      </c>
      <c r="Y53" s="73">
        <f ca="1">IF(ISERROR(A53),NA(),_xll.qlBondYieldFromCleanPrice(AH53,X53/C53*100,YieldDayCounter,YieldCompounding,YieldFrequency))</f>
        <v>4.2240215452816483E-2</v>
      </c>
      <c r="Z53" s="46"/>
      <c r="AA53" s="74">
        <f t="shared" ca="1" si="3"/>
        <v>4.2240215452816483E-2</v>
      </c>
      <c r="AB53" s="66">
        <f ca="1">IF(ISERROR(A53),IF(ISNUMBER(C53),0,NA()),_xll.qlBondCleanPriceFromYield(AH53,AA53,YieldDayCounter,YieldCompounding,YieldFrequency))</f>
        <v>35.749146659921237</v>
      </c>
      <c r="AC53" s="45"/>
      <c r="AD53" s="67">
        <f t="shared" ca="1" si="1"/>
        <v>35.749146659921237</v>
      </c>
      <c r="AE53" s="66">
        <f t="shared" ca="1" si="6"/>
        <v>0.89372866649802774</v>
      </c>
      <c r="AF53" s="77">
        <f t="shared" ca="1" si="5"/>
        <v>35.749146659921237</v>
      </c>
      <c r="AG53" s="74">
        <f ca="1">IF(ISERROR(A53),NA(),_xll.qlBondYieldFromCleanPrice(AH53,AF53,YieldDayCounter,YieldCompounding,YieldFrequency))</f>
        <v>4.2240215455295327E-2</v>
      </c>
      <c r="AH53" s="78" t="str">
        <f>_xll.qlZeroCouponBond(,,"EUR",3,"target",$C53,$B53,"f",100)</f>
        <v>obj_00466#0003</v>
      </c>
      <c r="AJ53" s="32"/>
      <c r="AK53" s="32"/>
      <c r="AL53" s="108"/>
      <c r="AM53" s="107"/>
      <c r="AN53" s="107"/>
      <c r="AO53" s="107"/>
    </row>
    <row r="54" spans="1:41" ht="12.75" x14ac:dyDescent="0.2">
      <c r="A54" s="48">
        <f ca="1">_xll.qlYieldTSDiscount(BtpCurve,B54,,PriceTrigger)</f>
        <v>0.34531308666395383</v>
      </c>
      <c r="B54" s="38">
        <v>51196</v>
      </c>
      <c r="C54" s="39">
        <v>2.4999999999999911</v>
      </c>
      <c r="D54" s="60">
        <v>100</v>
      </c>
      <c r="E54" s="38">
        <v>51014</v>
      </c>
      <c r="F54" s="38">
        <v>51196</v>
      </c>
      <c r="G54" s="40">
        <v>182</v>
      </c>
      <c r="H54" s="41" t="str">
        <v>#N/A</v>
      </c>
      <c r="I54" s="40" t="str">
        <v>#N/A</v>
      </c>
      <c r="J54" s="38" t="str">
        <v>#N/A</v>
      </c>
      <c r="K54" s="40" t="str">
        <v>Actual/Actual (ISMA)</v>
      </c>
      <c r="L54" s="42">
        <v>0.5</v>
      </c>
      <c r="M54" s="43">
        <v>0.05</v>
      </c>
      <c r="N54" s="43" t="str">
        <v>#N/A</v>
      </c>
      <c r="O54" s="44" t="str">
        <v>#N/A</v>
      </c>
      <c r="P54" s="43" t="str">
        <v>#N/A</v>
      </c>
      <c r="Q54" s="43" t="str">
        <v>#N/A</v>
      </c>
      <c r="R54" s="43" t="str">
        <v>#N/A</v>
      </c>
      <c r="S54" s="43" t="str">
        <v>#N/A</v>
      </c>
      <c r="T54" s="43" t="str">
        <v>#N/A</v>
      </c>
      <c r="U54" s="41" t="str">
        <v>#N/A</v>
      </c>
      <c r="V54" s="66">
        <f t="shared" ca="1" si="2"/>
        <v>0.86328271665988154</v>
      </c>
      <c r="W54" s="45"/>
      <c r="X54" s="67">
        <f t="shared" ca="1" si="0"/>
        <v>0.86328271665988154</v>
      </c>
      <c r="Y54" s="73">
        <f ca="1">IF(ISERROR(A54),NA(),_xll.qlBondYieldFromCleanPrice(AH54,X54/C54*100,YieldDayCounter,YieldCompounding,YieldFrequency))</f>
        <v>4.2821681297806204E-2</v>
      </c>
      <c r="Z54" s="46"/>
      <c r="AA54" s="74">
        <f t="shared" ca="1" si="3"/>
        <v>4.2821681297806204E-2</v>
      </c>
      <c r="AB54" s="66">
        <f ca="1">IF(ISERROR(A54),IF(ISNUMBER(C54),0,NA()),_xll.qlBondCleanPriceFromYield(AH54,AA54,YieldDayCounter,YieldCompounding,YieldFrequency))</f>
        <v>34.531308656334005</v>
      </c>
      <c r="AC54" s="45"/>
      <c r="AD54" s="67">
        <f t="shared" ca="1" si="1"/>
        <v>34.531308656334005</v>
      </c>
      <c r="AE54" s="66">
        <f t="shared" ca="1" si="6"/>
        <v>0.86328271640834697</v>
      </c>
      <c r="AF54" s="77">
        <f t="shared" ca="1" si="5"/>
        <v>34.531308656334005</v>
      </c>
      <c r="AG54" s="74">
        <f ca="1">IF(ISERROR(A54),NA(),_xll.qlBondYieldFromCleanPrice(AH54,AF54,YieldDayCounter,YieldCompounding,YieldFrequency))</f>
        <v>4.2821681309788064E-2</v>
      </c>
      <c r="AH54" s="78" t="str">
        <f>_xll.qlZeroCouponBond(,,"EUR",3,"target",$C54,$B54,"f",100)</f>
        <v>obj_00463#0003</v>
      </c>
      <c r="AJ54" s="32"/>
      <c r="AK54" s="32"/>
      <c r="AL54" s="108"/>
      <c r="AM54" s="107"/>
      <c r="AN54" s="107"/>
      <c r="AO54" s="107"/>
    </row>
    <row r="55" spans="1:41" ht="12.75" x14ac:dyDescent="0.2">
      <c r="A55" s="48">
        <f ca="1">_xll.qlYieldTSDiscount(BtpCurve,B55,,PriceTrigger)</f>
        <v>0.33364026169852268</v>
      </c>
      <c r="B55" s="38">
        <v>51382</v>
      </c>
      <c r="C55" s="39">
        <v>2.4999999999999911</v>
      </c>
      <c r="D55" s="60">
        <v>100</v>
      </c>
      <c r="E55" s="38">
        <v>51196</v>
      </c>
      <c r="F55" s="38">
        <v>51380</v>
      </c>
      <c r="G55" s="40">
        <v>184</v>
      </c>
      <c r="H55" s="41" t="str">
        <v>#N/A</v>
      </c>
      <c r="I55" s="40" t="str">
        <v>#N/A</v>
      </c>
      <c r="J55" s="38" t="str">
        <v>#N/A</v>
      </c>
      <c r="K55" s="40" t="str">
        <v>Actual/Actual (ISMA)</v>
      </c>
      <c r="L55" s="42">
        <v>0.5</v>
      </c>
      <c r="M55" s="43">
        <v>0.05</v>
      </c>
      <c r="N55" s="43" t="str">
        <v>#N/A</v>
      </c>
      <c r="O55" s="44" t="str">
        <v>#N/A</v>
      </c>
      <c r="P55" s="43" t="str">
        <v>#N/A</v>
      </c>
      <c r="Q55" s="43" t="str">
        <v>#N/A</v>
      </c>
      <c r="R55" s="43" t="str">
        <v>#N/A</v>
      </c>
      <c r="S55" s="43" t="str">
        <v>#N/A</v>
      </c>
      <c r="T55" s="43" t="str">
        <v>#N/A</v>
      </c>
      <c r="U55" s="41" t="str">
        <v>#N/A</v>
      </c>
      <c r="V55" s="66">
        <f t="shared" ca="1" si="2"/>
        <v>0.83410065424630375</v>
      </c>
      <c r="W55" s="45"/>
      <c r="X55" s="67">
        <f t="shared" ca="1" si="0"/>
        <v>0.83410065424630375</v>
      </c>
      <c r="Y55" s="73">
        <f ca="1">IF(ISERROR(A55),NA(),_xll.qlBondYieldFromCleanPrice(AH55,X55/C55*100,YieldDayCounter,YieldCompounding,YieldFrequency))</f>
        <v>4.3346720859732131E-2</v>
      </c>
      <c r="Z55" s="46"/>
      <c r="AA55" s="74">
        <f t="shared" ca="1" si="3"/>
        <v>4.3346720859732131E-2</v>
      </c>
      <c r="AB55" s="66">
        <f ca="1">IF(ISERROR(A55),IF(ISNUMBER(C55),0,NA()),_xll.qlBondCleanPriceFromYield(AH55,AA55,YieldDayCounter,YieldCompounding,YieldFrequency))</f>
        <v>33.364026157648979</v>
      </c>
      <c r="AC55" s="45"/>
      <c r="AD55" s="67">
        <f t="shared" ca="1" si="1"/>
        <v>33.364026157648979</v>
      </c>
      <c r="AE55" s="66">
        <f t="shared" ca="1" si="6"/>
        <v>0.83410065394122157</v>
      </c>
      <c r="AF55" s="77">
        <f t="shared" ca="1" si="5"/>
        <v>33.364026157648979</v>
      </c>
      <c r="AG55" s="74">
        <f ca="1">IF(ISERROR(A55),NA(),_xll.qlBondYieldFromCleanPrice(AH55,AF55,YieldDayCounter,YieldCompounding,YieldFrequency))</f>
        <v>4.334672087448415E-2</v>
      </c>
      <c r="AH55" s="78" t="str">
        <f>_xll.qlZeroCouponBond(,,"EUR",3,"target",$C55,$B55,"f",100)</f>
        <v>obj_00445#0003</v>
      </c>
      <c r="AJ55" s="32"/>
      <c r="AK55" s="32"/>
      <c r="AL55" s="108"/>
      <c r="AM55" s="107"/>
      <c r="AN55" s="107"/>
      <c r="AO55" s="107"/>
    </row>
    <row r="56" spans="1:41" ht="12.75" x14ac:dyDescent="0.2">
      <c r="A56" s="48">
        <f ca="1">_xll.qlYieldTSDiscount(BtpCurve,B56,,PriceTrigger)</f>
        <v>0.33364026169852268</v>
      </c>
      <c r="B56" s="38">
        <v>51382</v>
      </c>
      <c r="C56" s="39">
        <v>100</v>
      </c>
      <c r="D56" s="60" t="str">
        <v>#N/A</v>
      </c>
      <c r="E56" s="38" t="str">
        <v>#N/A</v>
      </c>
      <c r="F56" s="38" t="str">
        <v>#N/A</v>
      </c>
      <c r="G56" s="40" t="str">
        <v>#N/A</v>
      </c>
      <c r="H56" s="41" t="str">
        <v>#N/A</v>
      </c>
      <c r="I56" s="40" t="str">
        <v>#N/A</v>
      </c>
      <c r="J56" s="38" t="str">
        <v>#N/A</v>
      </c>
      <c r="K56" s="40" t="str">
        <v>#N/A</v>
      </c>
      <c r="L56" s="42" t="str">
        <v>#N/A</v>
      </c>
      <c r="M56" s="43" t="str">
        <v>#N/A</v>
      </c>
      <c r="N56" s="43" t="str">
        <v>#N/A</v>
      </c>
      <c r="O56" s="44" t="str">
        <v>#N/A</v>
      </c>
      <c r="P56" s="43" t="str">
        <v>#N/A</v>
      </c>
      <c r="Q56" s="43" t="str">
        <v>#N/A</v>
      </c>
      <c r="R56" s="43" t="str">
        <v>#N/A</v>
      </c>
      <c r="S56" s="43" t="str">
        <v>#N/A</v>
      </c>
      <c r="T56" s="43" t="str">
        <v>#N/A</v>
      </c>
      <c r="U56" s="41" t="str">
        <v>#N/A</v>
      </c>
      <c r="V56" s="66">
        <f t="shared" ca="1" si="2"/>
        <v>33.364026169852266</v>
      </c>
      <c r="W56" s="45"/>
      <c r="X56" s="67">
        <f t="shared" ca="1" si="0"/>
        <v>33.364026169852266</v>
      </c>
      <c r="Y56" s="73">
        <f ca="1">IF(ISERROR(A56),NA(),_xll.qlBondYieldFromCleanPrice(AH56,X56/C56*100,YieldDayCounter,YieldCompounding,YieldFrequency))</f>
        <v>4.3346720827546162E-2</v>
      </c>
      <c r="Z56" s="46"/>
      <c r="AA56" s="74">
        <f t="shared" ca="1" si="3"/>
        <v>4.3346720827546162E-2</v>
      </c>
      <c r="AB56" s="66">
        <f ca="1">IF(ISERROR(A56),IF(ISNUMBER(C56),0,NA()),_xll.qlBondCleanPriceFromYield(AH56,AA56,YieldDayCounter,YieldCompounding,YieldFrequency))</f>
        <v>33.364026184273897</v>
      </c>
      <c r="AC56" s="45"/>
      <c r="AD56" s="67">
        <f t="shared" ca="1" si="1"/>
        <v>33.364026184273897</v>
      </c>
      <c r="AE56" s="66">
        <f t="shared" ca="1" si="6"/>
        <v>33.364026184273897</v>
      </c>
      <c r="AF56" s="77">
        <f t="shared" ca="1" si="5"/>
        <v>33.364026184273897</v>
      </c>
      <c r="AG56" s="74">
        <f ca="1">IF(ISERROR(A56),NA(),_xll.qlBondYieldFromCleanPrice(AH56,AF56,YieldDayCounter,YieldCompounding,YieldFrequency))</f>
        <v>4.3346720839860013E-2</v>
      </c>
      <c r="AH56" s="78" t="str">
        <f>_xll.qlZeroCouponBond(,,"EUR",3,"target",$C56,$B56,"f",100)</f>
        <v>obj_00469#0003</v>
      </c>
      <c r="AJ56" s="32"/>
      <c r="AK56" s="32"/>
      <c r="AL56" s="108"/>
      <c r="AM56" s="107"/>
      <c r="AN56" s="107"/>
      <c r="AO56" s="107"/>
    </row>
    <row r="57" spans="1:41" ht="12.75" x14ac:dyDescent="0.2">
      <c r="A57" s="48" t="e">
        <f ca="1">_xll.qlYieldTSDiscount(BtpCurve,B57,,PriceTrigger)</f>
        <v>#NUM!</v>
      </c>
      <c r="B57" s="38" t="e">
        <v>#N/A</v>
      </c>
      <c r="C57" s="39" t="e">
        <v>#N/A</v>
      </c>
      <c r="D57" s="60" t="e">
        <v>#N/A</v>
      </c>
      <c r="E57" s="38" t="e">
        <v>#N/A</v>
      </c>
      <c r="F57" s="38" t="e">
        <v>#N/A</v>
      </c>
      <c r="G57" s="40" t="e">
        <v>#N/A</v>
      </c>
      <c r="H57" s="41" t="e">
        <v>#N/A</v>
      </c>
      <c r="I57" s="40" t="e">
        <v>#N/A</v>
      </c>
      <c r="J57" s="38" t="e">
        <v>#N/A</v>
      </c>
      <c r="K57" s="40" t="e">
        <v>#N/A</v>
      </c>
      <c r="L57" s="42" t="e">
        <v>#N/A</v>
      </c>
      <c r="M57" s="43" t="e">
        <v>#N/A</v>
      </c>
      <c r="N57" s="43" t="e">
        <v>#N/A</v>
      </c>
      <c r="O57" s="44" t="e">
        <v>#N/A</v>
      </c>
      <c r="P57" s="43" t="e">
        <v>#N/A</v>
      </c>
      <c r="Q57" s="43" t="e">
        <v>#N/A</v>
      </c>
      <c r="R57" s="43" t="e">
        <v>#N/A</v>
      </c>
      <c r="S57" s="43" t="e">
        <v>#N/A</v>
      </c>
      <c r="T57" s="43" t="e">
        <v>#N/A</v>
      </c>
      <c r="U57" s="41" t="e">
        <v>#N/A</v>
      </c>
      <c r="V57" s="66">
        <f t="shared" ca="1" si="2"/>
        <v>0</v>
      </c>
      <c r="W57" s="45"/>
      <c r="X57" s="67">
        <f t="shared" ca="1" si="0"/>
        <v>0</v>
      </c>
      <c r="Y57" s="73" t="e">
        <f ca="1">IF(ISERROR(A57),NA(),_xll.qlBondYieldFromCleanPrice(AH57,X57/C57*100,YieldDayCounter,YieldCompounding,YieldFrequency))</f>
        <v>#N/A</v>
      </c>
      <c r="Z57" s="46"/>
      <c r="AA57" s="74" t="e">
        <f t="shared" ca="1" si="3"/>
        <v>#N/A</v>
      </c>
      <c r="AB57" s="66" t="e">
        <f ca="1">IF(ISERROR(A57),IF(ISNUMBER(C57),0,NA()),_xll.qlBondCleanPriceFromYield(AH57,AA57,YieldDayCounter,YieldCompounding,YieldFrequency))</f>
        <v>#N/A</v>
      </c>
      <c r="AC57" s="45"/>
      <c r="AD57" s="67" t="e">
        <f t="shared" ca="1" si="1"/>
        <v>#N/A</v>
      </c>
      <c r="AE57" s="66" t="e">
        <f t="shared" ca="1" si="6"/>
        <v>#N/A</v>
      </c>
      <c r="AF57" s="77" t="e">
        <f t="shared" ca="1" si="5"/>
        <v>#N/A</v>
      </c>
      <c r="AG57" s="74" t="e">
        <f ca="1">IF(ISERROR(A57),NA(),_xll.qlBondYieldFromCleanPrice(AH57,AF57,YieldDayCounter,YieldCompounding,YieldFrequency))</f>
        <v>#N/A</v>
      </c>
      <c r="AH57" s="78" t="e">
        <f>_xll.qlZeroCouponBond(,,"EUR",3,"target",$C57,$B57,"f",100)</f>
        <v>#NUM!</v>
      </c>
      <c r="AJ57" s="32"/>
      <c r="AK57" s="32"/>
      <c r="AL57" s="108"/>
      <c r="AM57" s="107"/>
      <c r="AN57" s="107"/>
      <c r="AO57" s="107"/>
    </row>
    <row r="58" spans="1:41" ht="12.75" x14ac:dyDescent="0.2">
      <c r="A58" s="48" t="e">
        <f ca="1">_xll.qlYieldTSDiscount(BtpCurve,B58,,PriceTrigger)</f>
        <v>#NUM!</v>
      </c>
      <c r="B58" s="38" t="e">
        <v>#N/A</v>
      </c>
      <c r="C58" s="39" t="e">
        <v>#N/A</v>
      </c>
      <c r="D58" s="60" t="e">
        <v>#N/A</v>
      </c>
      <c r="E58" s="38" t="e">
        <v>#N/A</v>
      </c>
      <c r="F58" s="38" t="e">
        <v>#N/A</v>
      </c>
      <c r="G58" s="40" t="e">
        <v>#N/A</v>
      </c>
      <c r="H58" s="41" t="e">
        <v>#N/A</v>
      </c>
      <c r="I58" s="40" t="e">
        <v>#N/A</v>
      </c>
      <c r="J58" s="38" t="e">
        <v>#N/A</v>
      </c>
      <c r="K58" s="40" t="e">
        <v>#N/A</v>
      </c>
      <c r="L58" s="42" t="e">
        <v>#N/A</v>
      </c>
      <c r="M58" s="43" t="e">
        <v>#N/A</v>
      </c>
      <c r="N58" s="43" t="e">
        <v>#N/A</v>
      </c>
      <c r="O58" s="44" t="e">
        <v>#N/A</v>
      </c>
      <c r="P58" s="43" t="e">
        <v>#N/A</v>
      </c>
      <c r="Q58" s="43" t="e">
        <v>#N/A</v>
      </c>
      <c r="R58" s="43" t="e">
        <v>#N/A</v>
      </c>
      <c r="S58" s="43" t="e">
        <v>#N/A</v>
      </c>
      <c r="T58" s="43" t="e">
        <v>#N/A</v>
      </c>
      <c r="U58" s="41" t="e">
        <v>#N/A</v>
      </c>
      <c r="V58" s="66">
        <f t="shared" ca="1" si="2"/>
        <v>0</v>
      </c>
      <c r="W58" s="45"/>
      <c r="X58" s="67">
        <f t="shared" ca="1" si="0"/>
        <v>0</v>
      </c>
      <c r="Y58" s="73" t="e">
        <f ca="1">IF(ISERROR(A58),NA(),_xll.qlBondYieldFromCleanPrice(AH58,X58/C58*100,YieldDayCounter,YieldCompounding,YieldFrequency))</f>
        <v>#N/A</v>
      </c>
      <c r="Z58" s="46"/>
      <c r="AA58" s="74" t="e">
        <f t="shared" ca="1" si="3"/>
        <v>#N/A</v>
      </c>
      <c r="AB58" s="66" t="e">
        <f ca="1">IF(ISERROR(A58),IF(ISNUMBER(C58),0,NA()),_xll.qlBondCleanPriceFromYield(AH58,AA58,YieldDayCounter,YieldCompounding,YieldFrequency))</f>
        <v>#N/A</v>
      </c>
      <c r="AC58" s="45"/>
      <c r="AD58" s="67" t="e">
        <f t="shared" ca="1" si="1"/>
        <v>#N/A</v>
      </c>
      <c r="AE58" s="66" t="e">
        <f t="shared" ca="1" si="6"/>
        <v>#N/A</v>
      </c>
      <c r="AF58" s="77" t="e">
        <f t="shared" ca="1" si="5"/>
        <v>#N/A</v>
      </c>
      <c r="AG58" s="74" t="e">
        <f ca="1">IF(ISERROR(A58),NA(),_xll.qlBondYieldFromCleanPrice(AH58,AF58,YieldDayCounter,YieldCompounding,YieldFrequency))</f>
        <v>#N/A</v>
      </c>
      <c r="AH58" s="78" t="e">
        <f>_xll.qlZeroCouponBond(,,"EUR",3,"target",$C58,$B58,"f",100)</f>
        <v>#NUM!</v>
      </c>
      <c r="AJ58" s="32"/>
      <c r="AK58" s="32"/>
      <c r="AL58" s="108"/>
      <c r="AM58" s="107"/>
      <c r="AN58" s="107"/>
      <c r="AO58" s="107"/>
    </row>
    <row r="59" spans="1:41" ht="12.75" x14ac:dyDescent="0.2">
      <c r="A59" s="48" t="e">
        <f ca="1">_xll.qlYieldTSDiscount(BtpCurve,B59,,PriceTrigger)</f>
        <v>#NUM!</v>
      </c>
      <c r="B59" s="38" t="e">
        <v>#N/A</v>
      </c>
      <c r="C59" s="39" t="e">
        <v>#N/A</v>
      </c>
      <c r="D59" s="60" t="e">
        <v>#N/A</v>
      </c>
      <c r="E59" s="38" t="e">
        <v>#N/A</v>
      </c>
      <c r="F59" s="38" t="e">
        <v>#N/A</v>
      </c>
      <c r="G59" s="40" t="e">
        <v>#N/A</v>
      </c>
      <c r="H59" s="41" t="e">
        <v>#N/A</v>
      </c>
      <c r="I59" s="40" t="e">
        <v>#N/A</v>
      </c>
      <c r="J59" s="38" t="e">
        <v>#N/A</v>
      </c>
      <c r="K59" s="40" t="e">
        <v>#N/A</v>
      </c>
      <c r="L59" s="42" t="e">
        <v>#N/A</v>
      </c>
      <c r="M59" s="43" t="e">
        <v>#N/A</v>
      </c>
      <c r="N59" s="43" t="e">
        <v>#N/A</v>
      </c>
      <c r="O59" s="44" t="e">
        <v>#N/A</v>
      </c>
      <c r="P59" s="43" t="e">
        <v>#N/A</v>
      </c>
      <c r="Q59" s="43" t="e">
        <v>#N/A</v>
      </c>
      <c r="R59" s="43" t="e">
        <v>#N/A</v>
      </c>
      <c r="S59" s="43" t="e">
        <v>#N/A</v>
      </c>
      <c r="T59" s="43" t="e">
        <v>#N/A</v>
      </c>
      <c r="U59" s="41" t="e">
        <v>#N/A</v>
      </c>
      <c r="V59" s="66">
        <f t="shared" ca="1" si="2"/>
        <v>0</v>
      </c>
      <c r="W59" s="45"/>
      <c r="X59" s="67">
        <f t="shared" ca="1" si="0"/>
        <v>0</v>
      </c>
      <c r="Y59" s="73" t="e">
        <f ca="1">IF(ISERROR(A59),NA(),_xll.qlBondYieldFromCleanPrice(AH59,X59/C59*100,YieldDayCounter,YieldCompounding,YieldFrequency))</f>
        <v>#N/A</v>
      </c>
      <c r="Z59" s="46"/>
      <c r="AA59" s="74" t="e">
        <f t="shared" ca="1" si="3"/>
        <v>#N/A</v>
      </c>
      <c r="AB59" s="66" t="e">
        <f ca="1">IF(ISERROR(A59),IF(ISNUMBER(C59),0,NA()),_xll.qlBondCleanPriceFromYield(AH59,AA59,YieldDayCounter,YieldCompounding,YieldFrequency))</f>
        <v>#N/A</v>
      </c>
      <c r="AC59" s="45"/>
      <c r="AD59" s="67" t="e">
        <f t="shared" ca="1" si="1"/>
        <v>#N/A</v>
      </c>
      <c r="AE59" s="66" t="e">
        <f t="shared" ca="1" si="6"/>
        <v>#N/A</v>
      </c>
      <c r="AF59" s="77" t="e">
        <f t="shared" ca="1" si="5"/>
        <v>#N/A</v>
      </c>
      <c r="AG59" s="74" t="e">
        <f ca="1">IF(ISERROR(A59),NA(),_xll.qlBondYieldFromCleanPrice(AH59,AF59,YieldDayCounter,YieldCompounding,YieldFrequency))</f>
        <v>#N/A</v>
      </c>
      <c r="AH59" s="78" t="e">
        <f>_xll.qlZeroCouponBond(,,"EUR",3,"target",$C59,$B59,"f",100)</f>
        <v>#NUM!</v>
      </c>
      <c r="AJ59" s="32"/>
      <c r="AK59" s="32"/>
      <c r="AL59" s="108"/>
      <c r="AM59" s="107"/>
      <c r="AN59" s="107"/>
      <c r="AO59" s="107"/>
    </row>
    <row r="60" spans="1:41" ht="12.75" x14ac:dyDescent="0.2">
      <c r="A60" s="48" t="e">
        <f ca="1">_xll.qlYieldTSDiscount(BtpCurve,B60,,PriceTrigger)</f>
        <v>#NUM!</v>
      </c>
      <c r="B60" s="38" t="e">
        <v>#N/A</v>
      </c>
      <c r="C60" s="39" t="e">
        <v>#N/A</v>
      </c>
      <c r="D60" s="60" t="e">
        <v>#N/A</v>
      </c>
      <c r="E60" s="38" t="e">
        <v>#N/A</v>
      </c>
      <c r="F60" s="38" t="e">
        <v>#N/A</v>
      </c>
      <c r="G60" s="40" t="e">
        <v>#N/A</v>
      </c>
      <c r="H60" s="41" t="e">
        <v>#N/A</v>
      </c>
      <c r="I60" s="40" t="e">
        <v>#N/A</v>
      </c>
      <c r="J60" s="38" t="e">
        <v>#N/A</v>
      </c>
      <c r="K60" s="40" t="e">
        <v>#N/A</v>
      </c>
      <c r="L60" s="42" t="e">
        <v>#N/A</v>
      </c>
      <c r="M60" s="43" t="e">
        <v>#N/A</v>
      </c>
      <c r="N60" s="43" t="e">
        <v>#N/A</v>
      </c>
      <c r="O60" s="44" t="e">
        <v>#N/A</v>
      </c>
      <c r="P60" s="43" t="e">
        <v>#N/A</v>
      </c>
      <c r="Q60" s="43" t="e">
        <v>#N/A</v>
      </c>
      <c r="R60" s="43" t="e">
        <v>#N/A</v>
      </c>
      <c r="S60" s="43" t="e">
        <v>#N/A</v>
      </c>
      <c r="T60" s="43" t="e">
        <v>#N/A</v>
      </c>
      <c r="U60" s="41" t="e">
        <v>#N/A</v>
      </c>
      <c r="V60" s="66">
        <f t="shared" ca="1" si="2"/>
        <v>0</v>
      </c>
      <c r="W60" s="45"/>
      <c r="X60" s="67">
        <f t="shared" ca="1" si="0"/>
        <v>0</v>
      </c>
      <c r="Y60" s="73" t="e">
        <f ca="1">IF(ISERROR(A60),NA(),_xll.qlBondYieldFromCleanPrice(AH60,X60/C60*100,YieldDayCounter,YieldCompounding,YieldFrequency))</f>
        <v>#N/A</v>
      </c>
      <c r="Z60" s="46"/>
      <c r="AA60" s="74" t="e">
        <f t="shared" ca="1" si="3"/>
        <v>#N/A</v>
      </c>
      <c r="AB60" s="66" t="e">
        <f ca="1">IF(ISERROR(A60),IF(ISNUMBER(C60),0,NA()),_xll.qlBondCleanPriceFromYield(AH60,AA60,YieldDayCounter,YieldCompounding,YieldFrequency))</f>
        <v>#N/A</v>
      </c>
      <c r="AC60" s="45"/>
      <c r="AD60" s="67" t="e">
        <f t="shared" ca="1" si="1"/>
        <v>#N/A</v>
      </c>
      <c r="AE60" s="66" t="e">
        <f t="shared" ca="1" si="6"/>
        <v>#N/A</v>
      </c>
      <c r="AF60" s="77" t="e">
        <f t="shared" ca="1" si="5"/>
        <v>#N/A</v>
      </c>
      <c r="AG60" s="74" t="e">
        <f ca="1">IF(ISERROR(A60),NA(),_xll.qlBondYieldFromCleanPrice(AH60,AF60,YieldDayCounter,YieldCompounding,YieldFrequency))</f>
        <v>#N/A</v>
      </c>
      <c r="AH60" s="78" t="e">
        <f>_xll.qlZeroCouponBond(,,"EUR",3,"target",$C60,$B60,"f",100)</f>
        <v>#NUM!</v>
      </c>
      <c r="AJ60" s="32"/>
      <c r="AK60" s="32"/>
      <c r="AL60" s="108"/>
      <c r="AM60" s="107"/>
      <c r="AN60" s="107"/>
      <c r="AO60" s="107"/>
    </row>
    <row r="61" spans="1:41" ht="12.75" x14ac:dyDescent="0.2">
      <c r="A61" s="48" t="e">
        <f ca="1">_xll.qlYieldTSDiscount(BtpCurve,B61,,PriceTrigger)</f>
        <v>#NUM!</v>
      </c>
      <c r="B61" s="38" t="e">
        <v>#N/A</v>
      </c>
      <c r="C61" s="39" t="e">
        <v>#N/A</v>
      </c>
      <c r="D61" s="60" t="e">
        <v>#N/A</v>
      </c>
      <c r="E61" s="38" t="e">
        <v>#N/A</v>
      </c>
      <c r="F61" s="38" t="e">
        <v>#N/A</v>
      </c>
      <c r="G61" s="40" t="e">
        <v>#N/A</v>
      </c>
      <c r="H61" s="41" t="e">
        <v>#N/A</v>
      </c>
      <c r="I61" s="40" t="e">
        <v>#N/A</v>
      </c>
      <c r="J61" s="38" t="e">
        <v>#N/A</v>
      </c>
      <c r="K61" s="40" t="e">
        <v>#N/A</v>
      </c>
      <c r="L61" s="42" t="e">
        <v>#N/A</v>
      </c>
      <c r="M61" s="43" t="e">
        <v>#N/A</v>
      </c>
      <c r="N61" s="43" t="e">
        <v>#N/A</v>
      </c>
      <c r="O61" s="44" t="e">
        <v>#N/A</v>
      </c>
      <c r="P61" s="43" t="e">
        <v>#N/A</v>
      </c>
      <c r="Q61" s="43" t="e">
        <v>#N/A</v>
      </c>
      <c r="R61" s="43" t="e">
        <v>#N/A</v>
      </c>
      <c r="S61" s="43" t="e">
        <v>#N/A</v>
      </c>
      <c r="T61" s="43" t="e">
        <v>#N/A</v>
      </c>
      <c r="U61" s="41" t="e">
        <v>#N/A</v>
      </c>
      <c r="V61" s="66">
        <f t="shared" ca="1" si="2"/>
        <v>0</v>
      </c>
      <c r="W61" s="45"/>
      <c r="X61" s="67">
        <f t="shared" ca="1" si="0"/>
        <v>0</v>
      </c>
      <c r="Y61" s="73" t="e">
        <f ca="1">IF(ISERROR(A61),NA(),_xll.qlBondYieldFromCleanPrice(AH61,X61/C61*100,YieldDayCounter,YieldCompounding,YieldFrequency))</f>
        <v>#N/A</v>
      </c>
      <c r="Z61" s="46"/>
      <c r="AA61" s="74" t="e">
        <f t="shared" ca="1" si="3"/>
        <v>#N/A</v>
      </c>
      <c r="AB61" s="66" t="e">
        <f ca="1">IF(ISERROR(A61),IF(ISNUMBER(C61),0,NA()),_xll.qlBondCleanPriceFromYield(AH61,AA61,YieldDayCounter,YieldCompounding,YieldFrequency))</f>
        <v>#N/A</v>
      </c>
      <c r="AC61" s="45"/>
      <c r="AD61" s="67" t="e">
        <f t="shared" ca="1" si="1"/>
        <v>#N/A</v>
      </c>
      <c r="AE61" s="66" t="e">
        <f t="shared" ca="1" si="6"/>
        <v>#N/A</v>
      </c>
      <c r="AF61" s="77" t="e">
        <f t="shared" ca="1" si="5"/>
        <v>#N/A</v>
      </c>
      <c r="AG61" s="74" t="e">
        <f ca="1">IF(ISERROR(A61),NA(),_xll.qlBondYieldFromCleanPrice(AH61,AF61,YieldDayCounter,YieldCompounding,YieldFrequency))</f>
        <v>#N/A</v>
      </c>
      <c r="AH61" s="78" t="e">
        <f>_xll.qlZeroCouponBond(,,"EUR",3,"target",$C61,$B61,"f",100)</f>
        <v>#NUM!</v>
      </c>
      <c r="AJ61" s="32"/>
      <c r="AK61" s="32"/>
      <c r="AL61" s="108"/>
      <c r="AM61" s="107"/>
      <c r="AN61" s="107"/>
      <c r="AO61" s="107"/>
    </row>
    <row r="62" spans="1:41" ht="12.75" x14ac:dyDescent="0.2">
      <c r="A62" s="48" t="e">
        <f ca="1">_xll.qlYieldTSDiscount(BtpCurve,B62,,PriceTrigger)</f>
        <v>#NUM!</v>
      </c>
      <c r="B62" s="38" t="e">
        <v>#N/A</v>
      </c>
      <c r="C62" s="39" t="e">
        <v>#N/A</v>
      </c>
      <c r="D62" s="60" t="e">
        <v>#N/A</v>
      </c>
      <c r="E62" s="38" t="e">
        <v>#N/A</v>
      </c>
      <c r="F62" s="38" t="e">
        <v>#N/A</v>
      </c>
      <c r="G62" s="40" t="e">
        <v>#N/A</v>
      </c>
      <c r="H62" s="41" t="e">
        <v>#N/A</v>
      </c>
      <c r="I62" s="40" t="e">
        <v>#N/A</v>
      </c>
      <c r="J62" s="38" t="e">
        <v>#N/A</v>
      </c>
      <c r="K62" s="40" t="e">
        <v>#N/A</v>
      </c>
      <c r="L62" s="42" t="e">
        <v>#N/A</v>
      </c>
      <c r="M62" s="43" t="e">
        <v>#N/A</v>
      </c>
      <c r="N62" s="43" t="e">
        <v>#N/A</v>
      </c>
      <c r="O62" s="44" t="e">
        <v>#N/A</v>
      </c>
      <c r="P62" s="43" t="e">
        <v>#N/A</v>
      </c>
      <c r="Q62" s="43" t="e">
        <v>#N/A</v>
      </c>
      <c r="R62" s="43" t="e">
        <v>#N/A</v>
      </c>
      <c r="S62" s="43" t="e">
        <v>#N/A</v>
      </c>
      <c r="T62" s="43" t="e">
        <v>#N/A</v>
      </c>
      <c r="U62" s="41" t="e">
        <v>#N/A</v>
      </c>
      <c r="V62" s="66">
        <f t="shared" ca="1" si="2"/>
        <v>0</v>
      </c>
      <c r="W62" s="45"/>
      <c r="X62" s="67">
        <f t="shared" ca="1" si="0"/>
        <v>0</v>
      </c>
      <c r="Y62" s="73" t="e">
        <f ca="1">IF(ISERROR(A62),NA(),_xll.qlBondYieldFromCleanPrice(AH62,X62/C62*100,YieldDayCounter,YieldCompounding,YieldFrequency))</f>
        <v>#N/A</v>
      </c>
      <c r="Z62" s="46"/>
      <c r="AA62" s="74" t="e">
        <f t="shared" ca="1" si="3"/>
        <v>#N/A</v>
      </c>
      <c r="AB62" s="66" t="e">
        <f ca="1">IF(ISERROR(A62),IF(ISNUMBER(C62),0,NA()),_xll.qlBondCleanPriceFromYield(AH62,AA62,YieldDayCounter,YieldCompounding,YieldFrequency))</f>
        <v>#N/A</v>
      </c>
      <c r="AC62" s="45"/>
      <c r="AD62" s="67" t="e">
        <f t="shared" ca="1" si="1"/>
        <v>#N/A</v>
      </c>
      <c r="AE62" s="66" t="e">
        <f t="shared" ca="1" si="6"/>
        <v>#N/A</v>
      </c>
      <c r="AF62" s="77" t="e">
        <f t="shared" ca="1" si="5"/>
        <v>#N/A</v>
      </c>
      <c r="AG62" s="74" t="e">
        <f ca="1">IF(ISERROR(A62),NA(),_xll.qlBondYieldFromCleanPrice(AH62,AF62,YieldDayCounter,YieldCompounding,YieldFrequency))</f>
        <v>#N/A</v>
      </c>
      <c r="AH62" s="78" t="e">
        <f>_xll.qlZeroCouponBond(,,"EUR",3,"target",$C62,$B62,"f",100)</f>
        <v>#NUM!</v>
      </c>
      <c r="AJ62" s="32"/>
      <c r="AK62" s="32"/>
      <c r="AL62" s="108"/>
      <c r="AM62" s="107"/>
      <c r="AN62" s="107"/>
      <c r="AO62" s="107"/>
    </row>
    <row r="63" spans="1:41" ht="12.75" x14ac:dyDescent="0.2">
      <c r="A63" s="48" t="e">
        <f ca="1">_xll.qlYieldTSDiscount(BtpCurve,B63,,PriceTrigger)</f>
        <v>#NUM!</v>
      </c>
      <c r="B63" s="38" t="e">
        <v>#N/A</v>
      </c>
      <c r="C63" s="39" t="e">
        <v>#N/A</v>
      </c>
      <c r="D63" s="60" t="e">
        <v>#N/A</v>
      </c>
      <c r="E63" s="38" t="e">
        <v>#N/A</v>
      </c>
      <c r="F63" s="38" t="e">
        <v>#N/A</v>
      </c>
      <c r="G63" s="40" t="e">
        <v>#N/A</v>
      </c>
      <c r="H63" s="41" t="e">
        <v>#N/A</v>
      </c>
      <c r="I63" s="40" t="e">
        <v>#N/A</v>
      </c>
      <c r="J63" s="38" t="e">
        <v>#N/A</v>
      </c>
      <c r="K63" s="40" t="e">
        <v>#N/A</v>
      </c>
      <c r="L63" s="42" t="e">
        <v>#N/A</v>
      </c>
      <c r="M63" s="43" t="e">
        <v>#N/A</v>
      </c>
      <c r="N63" s="43" t="e">
        <v>#N/A</v>
      </c>
      <c r="O63" s="44" t="e">
        <v>#N/A</v>
      </c>
      <c r="P63" s="43" t="e">
        <v>#N/A</v>
      </c>
      <c r="Q63" s="43" t="e">
        <v>#N/A</v>
      </c>
      <c r="R63" s="43" t="e">
        <v>#N/A</v>
      </c>
      <c r="S63" s="43" t="e">
        <v>#N/A</v>
      </c>
      <c r="T63" s="43" t="e">
        <v>#N/A</v>
      </c>
      <c r="U63" s="41" t="e">
        <v>#N/A</v>
      </c>
      <c r="V63" s="66">
        <f t="shared" ca="1" si="2"/>
        <v>0</v>
      </c>
      <c r="W63" s="45"/>
      <c r="X63" s="67">
        <f t="shared" ca="1" si="0"/>
        <v>0</v>
      </c>
      <c r="Y63" s="73" t="e">
        <f ca="1">IF(ISERROR(A63),NA(),_xll.qlBondYieldFromCleanPrice(AH63,X63/C63*100,YieldDayCounter,YieldCompounding,YieldFrequency))</f>
        <v>#N/A</v>
      </c>
      <c r="Z63" s="46"/>
      <c r="AA63" s="74" t="e">
        <f t="shared" ca="1" si="3"/>
        <v>#N/A</v>
      </c>
      <c r="AB63" s="66" t="e">
        <f ca="1">IF(ISERROR(A63),IF(ISNUMBER(C63),0,NA()),_xll.qlBondCleanPriceFromYield(AH63,AA63,YieldDayCounter,YieldCompounding,YieldFrequency))</f>
        <v>#N/A</v>
      </c>
      <c r="AC63" s="45"/>
      <c r="AD63" s="67" t="e">
        <f t="shared" ca="1" si="1"/>
        <v>#N/A</v>
      </c>
      <c r="AE63" s="66" t="e">
        <f t="shared" ca="1" si="6"/>
        <v>#N/A</v>
      </c>
      <c r="AF63" s="77" t="e">
        <f t="shared" ca="1" si="5"/>
        <v>#N/A</v>
      </c>
      <c r="AG63" s="74" t="e">
        <f ca="1">IF(ISERROR(A63),NA(),_xll.qlBondYieldFromCleanPrice(AH63,AF63,YieldDayCounter,YieldCompounding,YieldFrequency))</f>
        <v>#N/A</v>
      </c>
      <c r="AH63" s="78" t="e">
        <f>_xll.qlZeroCouponBond(,,"EUR",3,"target",$C63,$B63,"f",100)</f>
        <v>#NUM!</v>
      </c>
      <c r="AJ63" s="32"/>
      <c r="AK63" s="32"/>
      <c r="AL63" s="108"/>
      <c r="AM63" s="107"/>
      <c r="AN63" s="107"/>
      <c r="AO63" s="107"/>
    </row>
    <row r="64" spans="1:41" ht="12.75" x14ac:dyDescent="0.2">
      <c r="A64" s="48" t="e">
        <f ca="1">_xll.qlYieldTSDiscount(BtpCurve,B64,,PriceTrigger)</f>
        <v>#NUM!</v>
      </c>
      <c r="B64" s="38" t="e">
        <v>#N/A</v>
      </c>
      <c r="C64" s="39" t="e">
        <v>#N/A</v>
      </c>
      <c r="D64" s="60" t="e">
        <v>#N/A</v>
      </c>
      <c r="E64" s="38" t="e">
        <v>#N/A</v>
      </c>
      <c r="F64" s="38" t="e">
        <v>#N/A</v>
      </c>
      <c r="G64" s="40" t="e">
        <v>#N/A</v>
      </c>
      <c r="H64" s="41" t="e">
        <v>#N/A</v>
      </c>
      <c r="I64" s="40" t="e">
        <v>#N/A</v>
      </c>
      <c r="J64" s="38" t="e">
        <v>#N/A</v>
      </c>
      <c r="K64" s="40" t="e">
        <v>#N/A</v>
      </c>
      <c r="L64" s="42" t="e">
        <v>#N/A</v>
      </c>
      <c r="M64" s="43" t="e">
        <v>#N/A</v>
      </c>
      <c r="N64" s="43" t="e">
        <v>#N/A</v>
      </c>
      <c r="O64" s="44" t="e">
        <v>#N/A</v>
      </c>
      <c r="P64" s="43" t="e">
        <v>#N/A</v>
      </c>
      <c r="Q64" s="43" t="e">
        <v>#N/A</v>
      </c>
      <c r="R64" s="43" t="e">
        <v>#N/A</v>
      </c>
      <c r="S64" s="43" t="e">
        <v>#N/A</v>
      </c>
      <c r="T64" s="43" t="e">
        <v>#N/A</v>
      </c>
      <c r="U64" s="41" t="e">
        <v>#N/A</v>
      </c>
      <c r="V64" s="66">
        <f t="shared" ca="1" si="2"/>
        <v>0</v>
      </c>
      <c r="W64" s="45"/>
      <c r="X64" s="67">
        <f t="shared" ca="1" si="0"/>
        <v>0</v>
      </c>
      <c r="Y64" s="73" t="e">
        <f ca="1">IF(ISERROR(A64),NA(),_xll.qlBondYieldFromCleanPrice(AH64,X64/C64*100,YieldDayCounter,YieldCompounding,YieldFrequency))</f>
        <v>#N/A</v>
      </c>
      <c r="Z64" s="46"/>
      <c r="AA64" s="74" t="e">
        <f t="shared" ca="1" si="3"/>
        <v>#N/A</v>
      </c>
      <c r="AB64" s="66" t="e">
        <f ca="1">IF(ISERROR(A64),IF(ISNUMBER(C64),0,NA()),_xll.qlBondCleanPriceFromYield(AH64,AA64,YieldDayCounter,YieldCompounding,YieldFrequency))</f>
        <v>#N/A</v>
      </c>
      <c r="AC64" s="45"/>
      <c r="AD64" s="67" t="e">
        <f t="shared" ca="1" si="1"/>
        <v>#N/A</v>
      </c>
      <c r="AE64" s="66" t="e">
        <f t="shared" ca="1" si="6"/>
        <v>#N/A</v>
      </c>
      <c r="AF64" s="77" t="e">
        <f t="shared" ca="1" si="5"/>
        <v>#N/A</v>
      </c>
      <c r="AG64" s="74" t="e">
        <f ca="1">IF(ISERROR(A64),NA(),_xll.qlBondYieldFromCleanPrice(AH64,AF64,YieldDayCounter,YieldCompounding,YieldFrequency))</f>
        <v>#N/A</v>
      </c>
      <c r="AH64" s="78" t="e">
        <f>_xll.qlZeroCouponBond(,,"EUR",3,"target",$C64,$B64,"f",100)</f>
        <v>#NUM!</v>
      </c>
      <c r="AJ64" s="32"/>
      <c r="AK64" s="32"/>
      <c r="AL64" s="108"/>
      <c r="AM64" s="107"/>
      <c r="AN64" s="107"/>
      <c r="AO64" s="107"/>
    </row>
    <row r="65" spans="1:44" x14ac:dyDescent="0.2">
      <c r="A65" s="48" t="e">
        <f ca="1">_xll.qlYieldTSDiscount(BtpCurve,B65,,PriceTrigger)</f>
        <v>#NUM!</v>
      </c>
      <c r="B65" s="38" t="e">
        <v>#N/A</v>
      </c>
      <c r="C65" s="39" t="e">
        <v>#N/A</v>
      </c>
      <c r="D65" s="60" t="e">
        <v>#N/A</v>
      </c>
      <c r="E65" s="38" t="e">
        <v>#N/A</v>
      </c>
      <c r="F65" s="38" t="e">
        <v>#N/A</v>
      </c>
      <c r="G65" s="40" t="e">
        <v>#N/A</v>
      </c>
      <c r="H65" s="41" t="e">
        <v>#N/A</v>
      </c>
      <c r="I65" s="40" t="e">
        <v>#N/A</v>
      </c>
      <c r="J65" s="38" t="e">
        <v>#N/A</v>
      </c>
      <c r="K65" s="40" t="e">
        <v>#N/A</v>
      </c>
      <c r="L65" s="42" t="e">
        <v>#N/A</v>
      </c>
      <c r="M65" s="43" t="e">
        <v>#N/A</v>
      </c>
      <c r="N65" s="43" t="e">
        <v>#N/A</v>
      </c>
      <c r="O65" s="44" t="e">
        <v>#N/A</v>
      </c>
      <c r="P65" s="43" t="e">
        <v>#N/A</v>
      </c>
      <c r="Q65" s="43" t="e">
        <v>#N/A</v>
      </c>
      <c r="R65" s="43" t="e">
        <v>#N/A</v>
      </c>
      <c r="S65" s="43" t="e">
        <v>#N/A</v>
      </c>
      <c r="T65" s="43" t="e">
        <v>#N/A</v>
      </c>
      <c r="U65" s="41" t="e">
        <v>#N/A</v>
      </c>
      <c r="V65" s="66">
        <f t="shared" ca="1" si="2"/>
        <v>0</v>
      </c>
      <c r="W65" s="45"/>
      <c r="X65" s="67">
        <f t="shared" ca="1" si="0"/>
        <v>0</v>
      </c>
      <c r="Y65" s="73" t="e">
        <f ca="1">IF(ISERROR(A65),NA(),_xll.qlBondYieldFromCleanPrice(AH65,X65/C65*100,YieldDayCounter,YieldCompounding,YieldFrequency))</f>
        <v>#N/A</v>
      </c>
      <c r="Z65" s="46"/>
      <c r="AA65" s="74" t="e">
        <f t="shared" ca="1" si="3"/>
        <v>#N/A</v>
      </c>
      <c r="AB65" s="66" t="e">
        <f ca="1">IF(ISERROR(A65),IF(ISNUMBER(C65),0,NA()),_xll.qlBondCleanPriceFromYield(AH65,AA65,YieldDayCounter,YieldCompounding,YieldFrequency))</f>
        <v>#N/A</v>
      </c>
      <c r="AC65" s="45"/>
      <c r="AD65" s="67" t="e">
        <f t="shared" ca="1" si="1"/>
        <v>#N/A</v>
      </c>
      <c r="AE65" s="66" t="e">
        <f t="shared" ca="1" si="6"/>
        <v>#N/A</v>
      </c>
      <c r="AF65" s="77" t="e">
        <f t="shared" ca="1" si="5"/>
        <v>#N/A</v>
      </c>
      <c r="AG65" s="74" t="e">
        <f ca="1">IF(ISERROR(A65),NA(),_xll.qlBondYieldFromCleanPrice(AH65,AF65,YieldDayCounter,YieldCompounding,YieldFrequency))</f>
        <v>#N/A</v>
      </c>
      <c r="AH65" s="78" t="e">
        <f>_xll.qlZeroCouponBond(,,"EUR",3,"target",$C65,$B65,"f",100)</f>
        <v>#NUM!</v>
      </c>
      <c r="AL65" s="108"/>
    </row>
    <row r="66" spans="1:44" x14ac:dyDescent="0.2">
      <c r="A66" s="48" t="e">
        <f ca="1">_xll.qlYieldTSDiscount(BtpCurve,B66,,PriceTrigger)</f>
        <v>#NUM!</v>
      </c>
      <c r="B66" s="38" t="e">
        <v>#N/A</v>
      </c>
      <c r="C66" s="39" t="e">
        <v>#N/A</v>
      </c>
      <c r="D66" s="60" t="e">
        <v>#N/A</v>
      </c>
      <c r="E66" s="38" t="e">
        <v>#N/A</v>
      </c>
      <c r="F66" s="38" t="e">
        <v>#N/A</v>
      </c>
      <c r="G66" s="40" t="e">
        <v>#N/A</v>
      </c>
      <c r="H66" s="41" t="e">
        <v>#N/A</v>
      </c>
      <c r="I66" s="40" t="e">
        <v>#N/A</v>
      </c>
      <c r="J66" s="38" t="e">
        <v>#N/A</v>
      </c>
      <c r="K66" s="40" t="e">
        <v>#N/A</v>
      </c>
      <c r="L66" s="42" t="e">
        <v>#N/A</v>
      </c>
      <c r="M66" s="43" t="e">
        <v>#N/A</v>
      </c>
      <c r="N66" s="43" t="e">
        <v>#N/A</v>
      </c>
      <c r="O66" s="44" t="e">
        <v>#N/A</v>
      </c>
      <c r="P66" s="43" t="e">
        <v>#N/A</v>
      </c>
      <c r="Q66" s="43" t="e">
        <v>#N/A</v>
      </c>
      <c r="R66" s="43" t="e">
        <v>#N/A</v>
      </c>
      <c r="S66" s="43" t="e">
        <v>#N/A</v>
      </c>
      <c r="T66" s="43" t="e">
        <v>#N/A</v>
      </c>
      <c r="U66" s="41" t="e">
        <v>#N/A</v>
      </c>
      <c r="V66" s="66">
        <f t="shared" ca="1" si="2"/>
        <v>0</v>
      </c>
      <c r="W66" s="45"/>
      <c r="X66" s="67">
        <f t="shared" ca="1" si="0"/>
        <v>0</v>
      </c>
      <c r="Y66" s="73" t="e">
        <f ca="1">IF(ISERROR(A66),NA(),_xll.qlBondYieldFromCleanPrice(AH66,X66/C66*100,YieldDayCounter,YieldCompounding,YieldFrequency))</f>
        <v>#N/A</v>
      </c>
      <c r="Z66" s="46"/>
      <c r="AA66" s="74" t="e">
        <f t="shared" ca="1" si="3"/>
        <v>#N/A</v>
      </c>
      <c r="AB66" s="66" t="e">
        <f ca="1">IF(ISERROR(A66),IF(ISNUMBER(C66),0,NA()),_xll.qlBondCleanPriceFromYield(AH66,AA66,YieldDayCounter,YieldCompounding,YieldFrequency))</f>
        <v>#N/A</v>
      </c>
      <c r="AC66" s="45"/>
      <c r="AD66" s="67" t="e">
        <f t="shared" ca="1" si="1"/>
        <v>#N/A</v>
      </c>
      <c r="AE66" s="66" t="e">
        <f t="shared" ca="1" si="6"/>
        <v>#N/A</v>
      </c>
      <c r="AF66" s="77" t="e">
        <f t="shared" ca="1" si="5"/>
        <v>#N/A</v>
      </c>
      <c r="AG66" s="74" t="e">
        <f ca="1">IF(ISERROR(A66),NA(),_xll.qlBondYieldFromCleanPrice(AH66,AF66,YieldDayCounter,YieldCompounding,YieldFrequency))</f>
        <v>#N/A</v>
      </c>
      <c r="AH66" s="78" t="e">
        <f>_xll.qlZeroCouponBond(,,"EUR",3,"target",$C66,$B66,"f",100)</f>
        <v>#NUM!</v>
      </c>
      <c r="AR66" s="108"/>
    </row>
    <row r="67" spans="1:44" x14ac:dyDescent="0.2">
      <c r="A67" s="48" t="e">
        <f ca="1">_xll.qlYieldTSDiscount(BtpCurve,B67,,PriceTrigger)</f>
        <v>#NUM!</v>
      </c>
      <c r="B67" s="50" t="e">
        <v>#N/A</v>
      </c>
      <c r="C67" s="51" t="e">
        <v>#N/A</v>
      </c>
      <c r="D67" s="61" t="e">
        <v>#N/A</v>
      </c>
      <c r="E67" s="50" t="e">
        <v>#N/A</v>
      </c>
      <c r="F67" s="50" t="e">
        <v>#N/A</v>
      </c>
      <c r="G67" s="52" t="e">
        <v>#N/A</v>
      </c>
      <c r="H67" s="53" t="e">
        <v>#N/A</v>
      </c>
      <c r="I67" s="52" t="e">
        <v>#N/A</v>
      </c>
      <c r="J67" s="50" t="e">
        <v>#N/A</v>
      </c>
      <c r="K67" s="52" t="e">
        <v>#N/A</v>
      </c>
      <c r="L67" s="54" t="e">
        <v>#N/A</v>
      </c>
      <c r="M67" s="55" t="e">
        <v>#N/A</v>
      </c>
      <c r="N67" s="55" t="e">
        <v>#N/A</v>
      </c>
      <c r="O67" s="56" t="e">
        <v>#N/A</v>
      </c>
      <c r="P67" s="55" t="e">
        <v>#N/A</v>
      </c>
      <c r="Q67" s="55" t="e">
        <v>#N/A</v>
      </c>
      <c r="R67" s="55" t="e">
        <v>#N/A</v>
      </c>
      <c r="S67" s="55" t="e">
        <v>#N/A</v>
      </c>
      <c r="T67" s="55" t="e">
        <v>#N/A</v>
      </c>
      <c r="U67" s="53" t="e">
        <v>#N/A</v>
      </c>
      <c r="V67" s="66">
        <f t="shared" ca="1" si="2"/>
        <v>0</v>
      </c>
      <c r="W67" s="57"/>
      <c r="X67" s="69">
        <f t="shared" ca="1" si="0"/>
        <v>0</v>
      </c>
      <c r="Y67" s="75" t="e">
        <f ca="1">IF(ISERROR(A67),NA(),_xll.qlBondYieldFromCleanPrice(AH67,X67/C67*100,YieldDayCounter,YieldCompounding,YieldFrequency))</f>
        <v>#N/A</v>
      </c>
      <c r="Z67" s="58"/>
      <c r="AA67" s="76" t="e">
        <f t="shared" ca="1" si="3"/>
        <v>#N/A</v>
      </c>
      <c r="AB67" s="68" t="e">
        <f ca="1">IF(ISERROR(A67),IF(ISNUMBER(C67),0,NA()),_xll.qlBondCleanPriceFromYield(AH67,AA67,YieldDayCounter,YieldCompounding,YieldFrequency))</f>
        <v>#N/A</v>
      </c>
      <c r="AC67" s="57"/>
      <c r="AD67" s="69" t="e">
        <f t="shared" ca="1" si="1"/>
        <v>#N/A</v>
      </c>
      <c r="AE67" s="68" t="e">
        <f t="shared" ca="1" si="6"/>
        <v>#N/A</v>
      </c>
      <c r="AF67" s="77" t="e">
        <f t="shared" ca="1" si="5"/>
        <v>#N/A</v>
      </c>
      <c r="AG67" s="74" t="e">
        <f ca="1">IF(ISERROR(A67),NA(),_xll.qlBondYieldFromCleanPrice(AH67,AF67,YieldDayCounter,YieldCompounding,YieldFrequency))</f>
        <v>#N/A</v>
      </c>
      <c r="AH67" s="79" t="e">
        <f>_xll.qlZeroCouponBond(,,"EUR",3,"target",$C67,$B67,"f",100)</f>
        <v>#NUM!</v>
      </c>
      <c r="AR67" s="108"/>
    </row>
    <row r="68" spans="1:44" x14ac:dyDescent="0.2">
      <c r="A68" s="63"/>
      <c r="B68" s="80"/>
      <c r="C68" s="81"/>
      <c r="D68" s="81"/>
      <c r="E68" s="80"/>
      <c r="F68" s="80"/>
      <c r="G68" s="82"/>
      <c r="H68" s="83"/>
      <c r="I68" s="82"/>
      <c r="J68" s="80"/>
      <c r="K68" s="82"/>
      <c r="L68" s="84"/>
      <c r="M68" s="85"/>
      <c r="N68" s="85"/>
      <c r="O68" s="86"/>
      <c r="P68" s="85"/>
      <c r="Q68" s="85"/>
      <c r="R68" s="85"/>
      <c r="S68" s="85"/>
      <c r="T68" s="85"/>
      <c r="U68" s="83"/>
      <c r="V68" s="83"/>
      <c r="W68" s="83"/>
      <c r="X68" s="83"/>
      <c r="Y68" s="64"/>
      <c r="Z68" s="83"/>
      <c r="AA68" s="83"/>
      <c r="AB68" s="83"/>
      <c r="AC68" s="64"/>
      <c r="AD68" s="64"/>
      <c r="AE68" s="83"/>
      <c r="AF68" s="83"/>
      <c r="AG68" s="83"/>
      <c r="AH68" s="83"/>
      <c r="AR68" s="108"/>
    </row>
    <row r="69" spans="1:44" x14ac:dyDescent="0.2">
      <c r="Y69" s="32"/>
      <c r="AC69" s="32"/>
      <c r="AD69" s="32"/>
      <c r="AR69" s="108"/>
    </row>
    <row r="70" spans="1:44" x14ac:dyDescent="0.2">
      <c r="Y70" s="32"/>
      <c r="AC70" s="32"/>
      <c r="AD70" s="32"/>
      <c r="AR70" s="108"/>
    </row>
    <row r="71" spans="1:44" x14ac:dyDescent="0.2">
      <c r="Y71" s="32"/>
      <c r="AC71" s="32"/>
      <c r="AD71" s="32"/>
      <c r="AR71" s="108"/>
    </row>
    <row r="72" spans="1:44" x14ac:dyDescent="0.2">
      <c r="Y72" s="32"/>
      <c r="AC72" s="32"/>
      <c r="AD72" s="32"/>
      <c r="AR72" s="108"/>
    </row>
    <row r="73" spans="1:44" x14ac:dyDescent="0.2">
      <c r="AR73" s="108"/>
    </row>
    <row r="74" spans="1:44" x14ac:dyDescent="0.2">
      <c r="AR74" s="108"/>
    </row>
    <row r="75" spans="1:44" x14ac:dyDescent="0.2">
      <c r="AR75" s="108"/>
    </row>
    <row r="76" spans="1:44" x14ac:dyDescent="0.2">
      <c r="AR76" s="108"/>
    </row>
    <row r="77" spans="1:44" x14ac:dyDescent="0.2">
      <c r="AR77" s="108"/>
    </row>
    <row r="78" spans="1:44" x14ac:dyDescent="0.2">
      <c r="AR78" s="108"/>
    </row>
    <row r="79" spans="1:44" x14ac:dyDescent="0.2">
      <c r="AR79" s="108"/>
    </row>
    <row r="80" spans="1:44" x14ac:dyDescent="0.2">
      <c r="AR80" s="108"/>
    </row>
    <row r="81" spans="44:44" x14ac:dyDescent="0.2">
      <c r="AR81" s="108"/>
    </row>
    <row r="82" spans="44:44" x14ac:dyDescent="0.2">
      <c r="AR82" s="108"/>
    </row>
    <row r="83" spans="44:44" x14ac:dyDescent="0.2">
      <c r="AR83" s="108"/>
    </row>
    <row r="84" spans="44:44" x14ac:dyDescent="0.2">
      <c r="AR84" s="108"/>
    </row>
    <row r="85" spans="44:44" x14ac:dyDescent="0.2">
      <c r="AR85" s="108"/>
    </row>
    <row r="86" spans="44:44" x14ac:dyDescent="0.2">
      <c r="AR86" s="108"/>
    </row>
    <row r="87" spans="44:44" x14ac:dyDescent="0.2">
      <c r="AR87" s="108"/>
    </row>
    <row r="88" spans="44:44" x14ac:dyDescent="0.2">
      <c r="AR88" s="108"/>
    </row>
    <row r="89" spans="44:44" x14ac:dyDescent="0.2">
      <c r="AR89" s="108"/>
    </row>
    <row r="90" spans="44:44" x14ac:dyDescent="0.2">
      <c r="AR90" s="108"/>
    </row>
    <row r="91" spans="44:44" x14ac:dyDescent="0.2">
      <c r="AR91" s="108"/>
    </row>
    <row r="92" spans="44:44" x14ac:dyDescent="0.2">
      <c r="AR92" s="108"/>
    </row>
    <row r="93" spans="44:44" x14ac:dyDescent="0.2">
      <c r="AR93" s="108"/>
    </row>
    <row r="94" spans="44:44" x14ac:dyDescent="0.2">
      <c r="AR94" s="108"/>
    </row>
    <row r="95" spans="44:44" x14ac:dyDescent="0.2">
      <c r="AR95" s="108"/>
    </row>
    <row r="96" spans="44:44" x14ac:dyDescent="0.2">
      <c r="AR96" s="108"/>
    </row>
    <row r="97" spans="44:44" x14ac:dyDescent="0.2">
      <c r="AR97" s="108"/>
    </row>
    <row r="98" spans="44:44" x14ac:dyDescent="0.2">
      <c r="AR98" s="108"/>
    </row>
    <row r="99" spans="44:44" x14ac:dyDescent="0.2">
      <c r="AR99" s="108"/>
    </row>
    <row r="100" spans="44:44" x14ac:dyDescent="0.2">
      <c r="AR100" s="108"/>
    </row>
    <row r="101" spans="44:44" x14ac:dyDescent="0.2">
      <c r="AR101" s="108"/>
    </row>
    <row r="102" spans="44:44" x14ac:dyDescent="0.2">
      <c r="AR102" s="108"/>
    </row>
    <row r="103" spans="44:44" x14ac:dyDescent="0.2">
      <c r="AR103" s="108"/>
    </row>
    <row r="104" spans="44:44" x14ac:dyDescent="0.2">
      <c r="AR104" s="108"/>
    </row>
    <row r="105" spans="44:44" x14ac:dyDescent="0.2">
      <c r="AR105" s="108"/>
    </row>
    <row r="106" spans="44:44" x14ac:dyDescent="0.2">
      <c r="AR106" s="108"/>
    </row>
    <row r="107" spans="44:44" x14ac:dyDescent="0.2">
      <c r="AR107" s="108"/>
    </row>
    <row r="108" spans="44:44" x14ac:dyDescent="0.2">
      <c r="AR108" s="108"/>
    </row>
    <row r="109" spans="44:44" x14ac:dyDescent="0.2">
      <c r="AR109" s="108"/>
    </row>
    <row r="110" spans="44:44" x14ac:dyDescent="0.2">
      <c r="AR110" s="108"/>
    </row>
    <row r="111" spans="44:44" x14ac:dyDescent="0.2">
      <c r="AR111" s="108"/>
    </row>
    <row r="112" spans="44:44" x14ac:dyDescent="0.2">
      <c r="AR112" s="108"/>
    </row>
    <row r="113" spans="44:44" x14ac:dyDescent="0.2">
      <c r="AR113" s="108"/>
    </row>
    <row r="114" spans="44:44" x14ac:dyDescent="0.2">
      <c r="AR114" s="108"/>
    </row>
    <row r="115" spans="44:44" x14ac:dyDescent="0.2">
      <c r="AR115" s="108"/>
    </row>
    <row r="116" spans="44:44" x14ac:dyDescent="0.2">
      <c r="AR116" s="108"/>
    </row>
    <row r="117" spans="44:44" x14ac:dyDescent="0.2">
      <c r="AR117" s="108"/>
    </row>
    <row r="118" spans="44:44" x14ac:dyDescent="0.2">
      <c r="AR118" s="108"/>
    </row>
    <row r="119" spans="44:44" x14ac:dyDescent="0.2">
      <c r="AR119" s="108"/>
    </row>
    <row r="120" spans="44:44" x14ac:dyDescent="0.2">
      <c r="AR120" s="108"/>
    </row>
    <row r="121" spans="44:44" x14ac:dyDescent="0.2">
      <c r="AR121" s="108"/>
    </row>
    <row r="122" spans="44:44" x14ac:dyDescent="0.2">
      <c r="AR122" s="108"/>
    </row>
    <row r="123" spans="44:44" x14ac:dyDescent="0.2">
      <c r="AR123" s="108"/>
    </row>
    <row r="124" spans="44:44" x14ac:dyDescent="0.2">
      <c r="AR124" s="108"/>
    </row>
    <row r="125" spans="44:44" x14ac:dyDescent="0.2">
      <c r="AR125" s="108"/>
    </row>
    <row r="126" spans="44:44" x14ac:dyDescent="0.2">
      <c r="AR126" s="108"/>
    </row>
    <row r="127" spans="44:44" x14ac:dyDescent="0.2">
      <c r="AR127" s="108"/>
    </row>
    <row r="128" spans="44:44" x14ac:dyDescent="0.2">
      <c r="AR128" s="108"/>
    </row>
    <row r="129" spans="44:44" x14ac:dyDescent="0.2">
      <c r="AR129" s="108"/>
    </row>
    <row r="130" spans="44:44" x14ac:dyDescent="0.2">
      <c r="AR130" s="108"/>
    </row>
    <row r="131" spans="44:44" x14ac:dyDescent="0.2">
      <c r="AR131" s="108"/>
    </row>
    <row r="132" spans="44:44" x14ac:dyDescent="0.2">
      <c r="AR132" s="108"/>
    </row>
    <row r="133" spans="44:44" x14ac:dyDescent="0.2">
      <c r="AR133" s="108"/>
    </row>
    <row r="134" spans="44:44" x14ac:dyDescent="0.2">
      <c r="AR134" s="108"/>
    </row>
    <row r="135" spans="44:44" x14ac:dyDescent="0.2">
      <c r="AR135" s="108"/>
    </row>
    <row r="136" spans="44:44" x14ac:dyDescent="0.2">
      <c r="AR136" s="108"/>
    </row>
    <row r="137" spans="44:44" x14ac:dyDescent="0.2">
      <c r="AR137" s="108"/>
    </row>
    <row r="138" spans="44:44" x14ac:dyDescent="0.2">
      <c r="AR138" s="108"/>
    </row>
    <row r="139" spans="44:44" x14ac:dyDescent="0.2">
      <c r="AR139" s="108"/>
    </row>
    <row r="140" spans="44:44" x14ac:dyDescent="0.2">
      <c r="AR140" s="108"/>
    </row>
    <row r="141" spans="44:44" x14ac:dyDescent="0.2">
      <c r="AR141" s="108"/>
    </row>
    <row r="142" spans="44:44" x14ac:dyDescent="0.2">
      <c r="AR142" s="108"/>
    </row>
    <row r="143" spans="44:44" x14ac:dyDescent="0.2">
      <c r="AR143" s="108"/>
    </row>
    <row r="144" spans="44:44" x14ac:dyDescent="0.2">
      <c r="AR144" s="108"/>
    </row>
    <row r="145" spans="44:44" x14ac:dyDescent="0.2">
      <c r="AR145" s="108"/>
    </row>
    <row r="146" spans="44:44" x14ac:dyDescent="0.2">
      <c r="AR146" s="108"/>
    </row>
    <row r="147" spans="44:44" x14ac:dyDescent="0.2">
      <c r="AR147" s="108"/>
    </row>
    <row r="148" spans="44:44" x14ac:dyDescent="0.2">
      <c r="AR148" s="108"/>
    </row>
    <row r="149" spans="44:44" x14ac:dyDescent="0.2">
      <c r="AR149" s="108"/>
    </row>
    <row r="150" spans="44:44" x14ac:dyDescent="0.2">
      <c r="AR150" s="108"/>
    </row>
    <row r="151" spans="44:44" x14ac:dyDescent="0.2">
      <c r="AR151" s="108"/>
    </row>
  </sheetData>
  <sortState ref="AL154:AO300">
    <sortCondition ref="AL154:AL300"/>
  </sortState>
  <phoneticPr fontId="2" type="noConversion"/>
  <dataValidations count="2">
    <dataValidation type="list" allowBlank="1" showInputMessage="1" showErrorMessage="1" sqref="A2">
      <formula1>Descriptions</formula1>
    </dataValidation>
    <dataValidation type="list" allowBlank="1" showInputMessage="1" showErrorMessage="1" sqref="AI1">
      <formula1>$AK$1:$AM$1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V150"/>
  <sheetViews>
    <sheetView topLeftCell="C1" workbookViewId="0">
      <selection activeCell="C1" sqref="C1"/>
    </sheetView>
  </sheetViews>
  <sheetFormatPr defaultRowHeight="11.25" outlineLevelCol="1" x14ac:dyDescent="0.2"/>
  <cols>
    <col min="1" max="1" width="13.140625" style="33" hidden="1" customWidth="1" outlineLevel="1"/>
    <col min="2" max="2" width="17.28515625" style="33" hidden="1" customWidth="1" outlineLevel="1"/>
    <col min="3" max="3" width="17.28515625" style="33" bestFit="1" customWidth="1" collapsed="1"/>
    <col min="4" max="4" width="19.28515625" style="33" bestFit="1" customWidth="1"/>
    <col min="5" max="6" width="8" style="33" bestFit="1" customWidth="1"/>
    <col min="7" max="11" width="9" style="33" bestFit="1" customWidth="1"/>
    <col min="12" max="12" width="10" style="33" bestFit="1" customWidth="1"/>
    <col min="13" max="13" width="9" style="33" customWidth="1"/>
    <col min="14" max="16" width="15.140625" style="33" hidden="1" customWidth="1" outlineLevel="1"/>
    <col min="17" max="18" width="8" style="33" hidden="1" customWidth="1" outlineLevel="1"/>
    <col min="19" max="19" width="68" style="33" bestFit="1" customWidth="1" collapsed="1"/>
    <col min="20" max="20" width="36.85546875" style="33" bestFit="1" customWidth="1"/>
    <col min="21" max="21" width="9.140625" style="33" hidden="1" customWidth="1" outlineLevel="1"/>
    <col min="22" max="22" width="17.28515625" style="33" bestFit="1" customWidth="1" collapsed="1"/>
    <col min="23" max="16384" width="9.140625" style="33"/>
  </cols>
  <sheetData>
    <row r="1" spans="1:22" x14ac:dyDescent="0.2">
      <c r="D1" s="88" t="s">
        <v>503</v>
      </c>
      <c r="E1" s="111">
        <v>4.0000000000000002E-4</v>
      </c>
      <c r="H1" s="111"/>
      <c r="N1" s="111"/>
      <c r="S1" s="110"/>
      <c r="T1" s="47"/>
      <c r="V1" s="110"/>
    </row>
    <row r="2" spans="1:22" x14ac:dyDescent="0.2">
      <c r="D2" s="88" t="str">
        <f>_xll.qlForwardSpreadedTermStructure(,BtpCurve,E1)</f>
        <v>obj_0049f#0008</v>
      </c>
      <c r="E2" s="88"/>
      <c r="H2" s="88"/>
      <c r="K2" s="88" t="s">
        <v>517</v>
      </c>
      <c r="N2" s="88"/>
      <c r="Q2" s="88" t="s">
        <v>505</v>
      </c>
      <c r="R2" s="88" t="s">
        <v>505</v>
      </c>
    </row>
    <row r="3" spans="1:22" x14ac:dyDescent="0.2">
      <c r="A3" s="91" t="s">
        <v>507</v>
      </c>
      <c r="B3" s="92" t="s">
        <v>94</v>
      </c>
      <c r="C3" s="92" t="s">
        <v>30</v>
      </c>
      <c r="D3" s="92" t="s">
        <v>504</v>
      </c>
      <c r="E3" s="92" t="s">
        <v>0</v>
      </c>
      <c r="F3" s="92" t="s">
        <v>116</v>
      </c>
      <c r="G3" s="92" t="s">
        <v>1</v>
      </c>
      <c r="H3" s="92" t="s">
        <v>510</v>
      </c>
      <c r="I3" s="92" t="s">
        <v>512</v>
      </c>
      <c r="J3" s="92" t="s">
        <v>514</v>
      </c>
      <c r="K3" s="92" t="s">
        <v>518</v>
      </c>
      <c r="L3" s="92" t="s">
        <v>519</v>
      </c>
      <c r="M3" s="92" t="s">
        <v>516</v>
      </c>
      <c r="N3" s="92" t="s">
        <v>511</v>
      </c>
      <c r="O3" s="92" t="s">
        <v>513</v>
      </c>
      <c r="P3" s="92" t="s">
        <v>515</v>
      </c>
      <c r="Q3" s="92" t="s">
        <v>0</v>
      </c>
      <c r="R3" s="92" t="s">
        <v>1</v>
      </c>
      <c r="S3" s="92" t="s">
        <v>502</v>
      </c>
      <c r="T3" s="92" t="s">
        <v>508</v>
      </c>
      <c r="U3" s="33" t="str">
        <f>IF(UPPER(V1)="ABCD",MKV_PUBLISHTYPE("XLS_STRIPS","Id","string","Bid","real","Ask","real","Mid","real","Name","string","DV01","real","MidYield","real","BidYield","real","AskYield","real"),"--")</f>
        <v>--</v>
      </c>
      <c r="V3" s="92" t="s">
        <v>506</v>
      </c>
    </row>
    <row r="4" spans="1:22" x14ac:dyDescent="0.2">
      <c r="A4" s="72" t="s">
        <v>33</v>
      </c>
      <c r="B4" s="89">
        <v>41760</v>
      </c>
      <c r="C4" s="47" t="s">
        <v>303</v>
      </c>
      <c r="D4" s="47" t="s">
        <v>304</v>
      </c>
      <c r="E4" s="109" t="e">
        <f t="array" aca="1" ref="E4:E150" ca="1">ROUNDDOWN(_xll.qlYieldTSDiscount(D2,$B4:$B150,_xll.ohTrigger(BtpCurve!$P$2:$P$47))*100,2)</f>
        <v>#NUM!</v>
      </c>
      <c r="F4" s="109" t="e">
        <f t="array" aca="1" ref="F4:F150" ca="1">_xll.qlYieldTSDiscount(BtpCurve,$B4:$B150,_xll.ohTrigger(BtpCurve!$P$2:$P$47))*100</f>
        <v>#NUM!</v>
      </c>
      <c r="G4" s="109" t="e">
        <f t="shared" ref="G4:G35" ca="1" si="0">2*F4-E4</f>
        <v>#NUM!</v>
      </c>
      <c r="H4" s="109" t="e">
        <f ca="1">_xll.qlBondYieldFromCleanPrice(N4,E4,YieldDayCounter,YieldCompounding,YieldFrequency)*100</f>
        <v>#VALUE!</v>
      </c>
      <c r="I4" s="109" t="e">
        <f ca="1">_xll.qlBondYieldFromCleanPrice(O4,F4,YieldDayCounter,YieldCompounding,YieldFrequency)*100</f>
        <v>#VALUE!</v>
      </c>
      <c r="J4" s="109" t="e">
        <f ca="1">_xll.qlBondYieldFromCleanPrice(P4,G4,YieldDayCounter,YieldCompounding,YieldFrequency)*100</f>
        <v>#VALUE!</v>
      </c>
      <c r="K4" s="109" t="e">
        <f ca="1">_xll.qlBondDurationFromYield(O4,I4,YieldDayCounter,YieldCompounding,YieldFrequency,K$2)</f>
        <v>#VALUE!</v>
      </c>
      <c r="L4" s="109" t="e">
        <f ca="1">_xll.qlBondConvexityFromYield(O4,I4/100,YieldDayCounter,YieldCompounding,YieldFrequency)</f>
        <v>#VALUE!</v>
      </c>
      <c r="M4" s="109" t="e">
        <f ca="1">_xll.BDP(A4&amp;" Corp","risk mid")</f>
        <v>#NAME?</v>
      </c>
      <c r="N4" s="109" t="str">
        <f>_xll.qlZeroCouponBond(,,"EUR",3,"target",100,$B4,"f",100,,,Trigger)</f>
        <v>obj_00243#0001</v>
      </c>
      <c r="O4" s="109" t="str">
        <f>_xll.qlZeroCouponBond(,,"EUR",3,"target",100,$B4,"f",100,,,Trigger)</f>
        <v>obj_003ae#0001</v>
      </c>
      <c r="P4" s="109" t="str">
        <f>_xll.qlZeroCouponBond(,,"EUR",3,"target",100,$B4,"f",100,,,Trigger)</f>
        <v>obj_002ef#0001</v>
      </c>
      <c r="Q4" s="109" t="e">
        <f t="shared" ref="Q4:Q35" ca="1" si="1">E4</f>
        <v>#NUM!</v>
      </c>
      <c r="R4" s="109" t="e">
        <f ca="1">Q4</f>
        <v>#NUM!</v>
      </c>
      <c r="S4" s="33" t="str">
        <f>IF(UPPER(S$1)="ABCD",_xll.RtContribute($D$3,$D4,$Q$3:$R$3,$Q4:$R4,"SCOPE:SERVER"),"--")</f>
        <v>--</v>
      </c>
      <c r="T4" s="33" t="str">
        <f t="shared" ref="T4:T35" si="2">T$3&amp;A4</f>
        <v>EUR.PRICING.XLS_STRIPS.IT0001247136</v>
      </c>
      <c r="U4" s="33" t="str">
        <f>IF(UPPER($V$1)="ABCD",MKV_PUBLISHRECORD(T4, "XLS_STRIPS"),"--")</f>
        <v>--</v>
      </c>
      <c r="V4" s="33" t="str">
        <f>IF(UPPER(V$1)="ABCD",MKV_SUPPLYRECORD(T4, "Bid",E4, "Ask",G4, "Id",A4, "Mid",F4, "Name",C4,"DV01",M4,"MidYield",I4,"BidYield",H4,"AskYield",J4),"--")</f>
        <v>--</v>
      </c>
    </row>
    <row r="5" spans="1:22" x14ac:dyDescent="0.2">
      <c r="A5" s="72" t="s">
        <v>305</v>
      </c>
      <c r="B5" s="89">
        <v>41852</v>
      </c>
      <c r="C5" s="47" t="s">
        <v>306</v>
      </c>
      <c r="D5" s="47" t="s">
        <v>307</v>
      </c>
      <c r="E5" s="109" t="e">
        <f ca="1"/>
        <v>#NUM!</v>
      </c>
      <c r="F5" s="109" t="e">
        <f ca="1"/>
        <v>#NUM!</v>
      </c>
      <c r="G5" s="109" t="e">
        <f t="shared" ca="1" si="0"/>
        <v>#NUM!</v>
      </c>
      <c r="H5" s="109" t="e">
        <f ca="1">_xll.qlBondYieldFromCleanPrice(N5,E5,YieldDayCounter,YieldCompounding,YieldFrequency)*100</f>
        <v>#VALUE!</v>
      </c>
      <c r="I5" s="109" t="e">
        <f ca="1">_xll.qlBondYieldFromCleanPrice(O5,F5,YieldDayCounter,YieldCompounding,YieldFrequency)*100</f>
        <v>#VALUE!</v>
      </c>
      <c r="J5" s="109" t="e">
        <f ca="1">_xll.qlBondYieldFromCleanPrice(P5,G5,YieldDayCounter,YieldCompounding,YieldFrequency)*100</f>
        <v>#VALUE!</v>
      </c>
      <c r="K5" s="109" t="e">
        <f ca="1">_xll.qlBondDurationFromYield(O5,I5,YieldDayCounter,YieldCompounding,YieldFrequency,K$2)</f>
        <v>#VALUE!</v>
      </c>
      <c r="L5" s="109" t="e">
        <f ca="1">_xll.qlBondConvexityFromYield(O5,I5/100,YieldDayCounter,YieldCompounding,YieldFrequency)</f>
        <v>#VALUE!</v>
      </c>
      <c r="M5" s="109" t="e">
        <f t="shared" ref="M5:M68" ca="1" si="3">_xll.BDP(A5&amp;" Corp","risk mid")</f>
        <v>#NAME?</v>
      </c>
      <c r="N5" s="109" t="str">
        <f>_xll.qlZeroCouponBond(,,"EUR",3,"target",100,$B5,"f",100,,,Trigger)</f>
        <v>obj_00339#0001</v>
      </c>
      <c r="O5" s="109" t="str">
        <f>_xll.qlZeroCouponBond(,,"EUR",3,"target",100,$B5,"f",100,,,Trigger)</f>
        <v>obj_0035a#0001</v>
      </c>
      <c r="P5" s="109" t="str">
        <f>_xll.qlZeroCouponBond(,,"EUR",3,"target",100,$B5,"f",100,,,Trigger)</f>
        <v>obj_00263#0001</v>
      </c>
      <c r="Q5" s="109" t="e">
        <f t="shared" ca="1" si="1"/>
        <v>#NUM!</v>
      </c>
      <c r="R5" s="109" t="e">
        <f t="shared" ref="R5" ca="1" si="4">Q5</f>
        <v>#NUM!</v>
      </c>
      <c r="S5" s="33" t="str">
        <f>IF(UPPER(S$1)="ABCD",_xll.RtContribute($D$3,$D5,$Q$3:$R$3,$Q5:$R5,"SCOPE:SERVER"),"--")</f>
        <v>--</v>
      </c>
      <c r="T5" s="33" t="str">
        <f t="shared" si="2"/>
        <v>EUR.PRICING.XLS_STRIPS.IT0004848609</v>
      </c>
      <c r="U5" s="33" t="str">
        <f>IF(UPPER($V$1)="ABCD",MKV_PUBLISHRECORD(T5, "XLS_STRIPS"),"--")</f>
        <v>--</v>
      </c>
      <c r="V5" s="33" t="str">
        <f>IF(UPPER(V$1)="ABCD",MKV_SUPPLYRECORD(T5, "Bid",E5, "Ask",G5, "Id",A5, "Mid",F5, "Name",C5,"DV01",M5,"MidYield",I5,"BidYield",H5,"AskYield",J5),"--")</f>
        <v>--</v>
      </c>
    </row>
    <row r="6" spans="1:22" x14ac:dyDescent="0.2">
      <c r="A6" s="72" t="s">
        <v>120</v>
      </c>
      <c r="B6" s="89">
        <v>41883</v>
      </c>
      <c r="C6" s="47" t="s">
        <v>121</v>
      </c>
      <c r="D6" s="47" t="s">
        <v>122</v>
      </c>
      <c r="E6" s="109" t="e">
        <f ca="1"/>
        <v>#NUM!</v>
      </c>
      <c r="F6" s="109" t="e">
        <f ca="1"/>
        <v>#NUM!</v>
      </c>
      <c r="G6" s="109" t="e">
        <f t="shared" ca="1" si="0"/>
        <v>#NUM!</v>
      </c>
      <c r="H6" s="109" t="e">
        <f ca="1">_xll.qlBondYieldFromCleanPrice(N6,E6,YieldDayCounter,YieldCompounding,YieldFrequency)*100</f>
        <v>#VALUE!</v>
      </c>
      <c r="I6" s="109" t="e">
        <f ca="1">_xll.qlBondYieldFromCleanPrice(O6,F6,YieldDayCounter,YieldCompounding,YieldFrequency)*100</f>
        <v>#VALUE!</v>
      </c>
      <c r="J6" s="109" t="e">
        <f ca="1">_xll.qlBondYieldFromCleanPrice(P6,G6,YieldDayCounter,YieldCompounding,YieldFrequency)*100</f>
        <v>#VALUE!</v>
      </c>
      <c r="K6" s="109" t="e">
        <f ca="1">_xll.qlBondDurationFromYield(O6,I6,YieldDayCounter,YieldCompounding,YieldFrequency,K$2)</f>
        <v>#VALUE!</v>
      </c>
      <c r="L6" s="109" t="e">
        <f ca="1">_xll.qlBondConvexityFromYield(O6,I6/100,YieldDayCounter,YieldCompounding,YieldFrequency)</f>
        <v>#VALUE!</v>
      </c>
      <c r="M6" s="109" t="e">
        <f t="shared" ca="1" si="3"/>
        <v>#NAME?</v>
      </c>
      <c r="N6" s="109" t="str">
        <f>_xll.qlZeroCouponBond(,,"EUR",3,"target",100,$B6,"f",100,,,Trigger)</f>
        <v>obj_00247#0001</v>
      </c>
      <c r="O6" s="109" t="str">
        <f>_xll.qlZeroCouponBond(,,"EUR",3,"target",100,$B6,"f",100,,,Trigger)</f>
        <v>obj_0026c#0001</v>
      </c>
      <c r="P6" s="109" t="str">
        <f>_xll.qlZeroCouponBond(,,"EUR",3,"target",100,$B6,"f",100,,,Trigger)</f>
        <v>obj_00286#0001</v>
      </c>
      <c r="Q6" s="109" t="e">
        <f t="shared" ca="1" si="1"/>
        <v>#NUM!</v>
      </c>
      <c r="R6" s="109" t="e">
        <f t="shared" ref="R6" ca="1" si="5">Q6</f>
        <v>#NUM!</v>
      </c>
      <c r="S6" s="33" t="str">
        <f>IF(UPPER(S$1)="ABCD",_xll.RtContribute($D$3,$D6,$Q$3:$R$3,$Q6:$R6,"SCOPE:SERVER"),"--")</f>
        <v>--</v>
      </c>
      <c r="T6" s="33" t="str">
        <f t="shared" si="2"/>
        <v>EUR.PRICING.XLS_STRIPS.IT0004957756</v>
      </c>
      <c r="U6" s="33" t="str">
        <f>IF(UPPER($V$1)="ABCD",MKV_PUBLISHRECORD(T6, "XLS_STRIPS"),"--")</f>
        <v>--</v>
      </c>
      <c r="V6" s="33" t="str">
        <f>IF(UPPER(V$1)="ABCD",MKV_SUPPLYRECORD(T6, "Bid",E6, "Ask",G6, "Id",A6, "Mid",F6, "Name",C6,"DV01",M6,"MidYield",I6,"BidYield",H6,"AskYield",J6),"--")</f>
        <v>--</v>
      </c>
    </row>
    <row r="7" spans="1:22" x14ac:dyDescent="0.2">
      <c r="A7" s="72" t="s">
        <v>34</v>
      </c>
      <c r="B7" s="89">
        <v>41944</v>
      </c>
      <c r="C7" s="47" t="s">
        <v>308</v>
      </c>
      <c r="D7" s="47" t="s">
        <v>309</v>
      </c>
      <c r="E7" s="109">
        <f ca="1"/>
        <v>99.98</v>
      </c>
      <c r="F7" s="109">
        <f ca="1"/>
        <v>99.990123728311787</v>
      </c>
      <c r="G7" s="109">
        <f t="shared" ca="1" si="0"/>
        <v>100.00024745662357</v>
      </c>
      <c r="H7" s="109">
        <f ca="1">_xll.qlBondYieldFromCleanPrice(N7,E7,YieldDayCounter,YieldCompounding,YieldFrequency)*100</f>
        <v>0.56317451846705446</v>
      </c>
      <c r="I7" s="109">
        <f ca="1">_xll.qlBondYieldFromCleanPrice(O7,F7,YieldDayCounter,YieldCompounding,YieldFrequency)*100</f>
        <v>0.27769386974349647</v>
      </c>
      <c r="J7" s="109">
        <f ca="1">_xll.qlBondYieldFromCleanPrice(P7,G7,YieldDayCounter,YieldCompounding,YieldFrequency)*100</f>
        <v>-6.9475704543288637E-3</v>
      </c>
      <c r="K7" s="109">
        <f ca="1">_xll.qlBondDurationFromYield(O7,I7,YieldDayCounter,YieldCompounding,YieldFrequency,K$2)</f>
        <v>2.7875564874796307E-2</v>
      </c>
      <c r="L7" s="109">
        <f ca="1">_xll.qlBondConvexityFromYield(O7,I7/100,YieldDayCounter,YieldCompounding,YieldFrequency)</f>
        <v>3.6680964596081014E-2</v>
      </c>
      <c r="M7" s="109" t="e">
        <f t="shared" ca="1" si="3"/>
        <v>#NAME?</v>
      </c>
      <c r="N7" s="109" t="str">
        <f>_xll.qlZeroCouponBond(,,"EUR",3,"target",100,$B7,"f",100,,,Trigger)</f>
        <v>obj_002c4#0001</v>
      </c>
      <c r="O7" s="109" t="str">
        <f>_xll.qlZeroCouponBond(,,"EUR",3,"target",100,$B7,"f",100,,,Trigger)</f>
        <v>obj_002e6#0001</v>
      </c>
      <c r="P7" s="109" t="str">
        <f>_xll.qlZeroCouponBond(,,"EUR",3,"target",100,$B7,"f",100,,,Trigger)</f>
        <v>obj_00298#0001</v>
      </c>
      <c r="Q7" s="109">
        <f t="shared" ca="1" si="1"/>
        <v>99.98</v>
      </c>
      <c r="R7" s="109">
        <f t="shared" ref="R7" ca="1" si="6">Q7</f>
        <v>99.98</v>
      </c>
      <c r="S7" s="33" t="str">
        <f>IF(UPPER(S$1)="ABCD",_xll.RtContribute($D$3,$D7,$Q$3:$R$3,$Q7:$R7,"SCOPE:SERVER"),"--")</f>
        <v>--</v>
      </c>
      <c r="T7" s="33" t="str">
        <f t="shared" si="2"/>
        <v>EUR.PRICING.XLS_STRIPS.IT0001247144</v>
      </c>
      <c r="U7" s="33" t="str">
        <f>IF(UPPER($V$1)="ABCD",MKV_PUBLISHRECORD(T7, "XLS_STRIPS"),"--")</f>
        <v>--</v>
      </c>
      <c r="V7" s="33" t="str">
        <f>IF(UPPER(V$1)="ABCD",MKV_SUPPLYRECORD(T7, "Bid",E7, "Ask",G7, "Id",A7, "Mid",F7, "Name",C7,"DV01",M7,"MidYield",I7,"BidYield",H7,"AskYield",J7),"--")</f>
        <v>--</v>
      </c>
    </row>
    <row r="8" spans="1:22" x14ac:dyDescent="0.2">
      <c r="A8" s="72" t="s">
        <v>310</v>
      </c>
      <c r="B8" s="89">
        <v>42036</v>
      </c>
      <c r="C8" s="47" t="s">
        <v>311</v>
      </c>
      <c r="D8" s="47" t="s">
        <v>312</v>
      </c>
      <c r="E8" s="109">
        <f ca="1"/>
        <v>99.89</v>
      </c>
      <c r="F8" s="109">
        <f ca="1"/>
        <v>99.907905856532381</v>
      </c>
      <c r="G8" s="109">
        <f t="shared" ca="1" si="0"/>
        <v>99.925811713064761</v>
      </c>
      <c r="H8" s="109">
        <f ca="1">_xll.qlBondYieldFromCleanPrice(N8,E8,YieldDayCounter,YieldCompounding,YieldFrequency)*100</f>
        <v>0.38701716027781408</v>
      </c>
      <c r="I8" s="109">
        <f ca="1">_xll.qlBondYieldFromCleanPrice(O8,F8,YieldDayCounter,YieldCompounding,YieldFrequency)*100</f>
        <v>0.32388733464349817</v>
      </c>
      <c r="J8" s="109">
        <f ca="1">_xll.qlBondYieldFromCleanPrice(P8,G8,YieldDayCounter,YieldCompounding,YieldFrequency)*100</f>
        <v>0.26080850457027582</v>
      </c>
      <c r="K8" s="109">
        <f ca="1">_xll.qlBondDurationFromYield(O8,I8,YieldDayCounter,YieldCompounding,YieldFrequency,K$2)</f>
        <v>0.21522337996083524</v>
      </c>
      <c r="L8" s="109">
        <f ca="1">_xll.qlBondConvexityFromYield(O8,I8/100,YieldDayCounter,YieldCompounding,YieldFrequency)</f>
        <v>0.36375732670100575</v>
      </c>
      <c r="M8" s="109" t="e">
        <f t="shared" ca="1" si="3"/>
        <v>#NAME?</v>
      </c>
      <c r="N8" s="109" t="str">
        <f>_xll.qlZeroCouponBond(,,"EUR",3,"target",100,$B8,"f",100,,,Trigger)</f>
        <v>obj_003b0#0001</v>
      </c>
      <c r="O8" s="109" t="str">
        <f>_xll.qlZeroCouponBond(,,"EUR",3,"target",100,$B8,"f",100,,,Trigger)</f>
        <v>obj_00353#0001</v>
      </c>
      <c r="P8" s="109" t="str">
        <f>_xll.qlZeroCouponBond(,,"EUR",3,"target",100,$B8,"f",100,,,Trigger)</f>
        <v>obj_00274#0001</v>
      </c>
      <c r="Q8" s="109">
        <f t="shared" ca="1" si="1"/>
        <v>99.89</v>
      </c>
      <c r="R8" s="109">
        <f t="shared" ref="R8" ca="1" si="7">Q8</f>
        <v>99.89</v>
      </c>
      <c r="S8" s="33" t="str">
        <f>IF(UPPER(S$1)="ABCD",_xll.RtContribute($D$3,$D8,$Q$3:$R$3,$Q8:$R8,"SCOPE:SERVER"),"--")</f>
        <v>--</v>
      </c>
      <c r="T8" s="33" t="str">
        <f t="shared" si="2"/>
        <v>EUR.PRICING.XLS_STRIPS.IT0004848625</v>
      </c>
      <c r="U8" s="33" t="str">
        <f>IF(UPPER($V$1)="ABCD",MKV_PUBLISHRECORD(T8, "XLS_STRIPS"),"--")</f>
        <v>--</v>
      </c>
      <c r="V8" s="33" t="str">
        <f>IF(UPPER(V$1)="ABCD",MKV_SUPPLYRECORD(T8, "Bid",E8, "Ask",G8, "Id",A8, "Mid",F8, "Name",C8,"DV01",M8,"MidYield",I8,"BidYield",H8,"AskYield",J8),"--")</f>
        <v>--</v>
      </c>
    </row>
    <row r="9" spans="1:22" x14ac:dyDescent="0.2">
      <c r="A9" s="72" t="s">
        <v>123</v>
      </c>
      <c r="B9" s="89">
        <v>42064</v>
      </c>
      <c r="C9" s="47" t="s">
        <v>124</v>
      </c>
      <c r="D9" s="47" t="s">
        <v>125</v>
      </c>
      <c r="E9" s="109">
        <f ca="1"/>
        <v>99.86</v>
      </c>
      <c r="F9" s="109">
        <f ca="1"/>
        <v>99.878051601489418</v>
      </c>
      <c r="G9" s="109">
        <f t="shared" ca="1" si="0"/>
        <v>99.896103202978836</v>
      </c>
      <c r="H9" s="109">
        <f ca="1">_xll.qlBondYieldFromCleanPrice(N9,E9,YieldDayCounter,YieldCompounding,YieldFrequency)*100</f>
        <v>0.38814378431811969</v>
      </c>
      <c r="I9" s="109">
        <f ca="1">_xll.qlBondYieldFromCleanPrice(O9,F9,YieldDayCounter,YieldCompounding,YieldFrequency)*100</f>
        <v>0.33798144106939471</v>
      </c>
      <c r="J9" s="109">
        <f ca="1">_xll.qlBondYieldFromCleanPrice(P9,G9,YieldDayCounter,YieldCompounding,YieldFrequency)*100</f>
        <v>0.28785324339941187</v>
      </c>
      <c r="K9" s="109">
        <f ca="1">_xll.qlBondDurationFromYield(O9,I9,YieldDayCounter,YieldCompounding,YieldFrequency,K$2)</f>
        <v>0.27029062176482138</v>
      </c>
      <c r="L9" s="109">
        <f ca="1">_xll.qlBondConvexityFromYield(O9,I9/100,YieldDayCounter,YieldCompounding,YieldFrequency)</f>
        <v>0.48911825433775752</v>
      </c>
      <c r="M9" s="109" t="e">
        <f t="shared" ca="1" si="3"/>
        <v>#NAME?</v>
      </c>
      <c r="N9" s="109" t="str">
        <f>_xll.qlZeroCouponBond(,,"EUR",3,"target",100,$B9,"f",100,,,Trigger)</f>
        <v>obj_0025d#0001</v>
      </c>
      <c r="O9" s="109" t="str">
        <f>_xll.qlZeroCouponBond(,,"EUR",3,"target",100,$B9,"f",100,,,Trigger)</f>
        <v>obj_002f9#0001</v>
      </c>
      <c r="P9" s="109" t="str">
        <f>_xll.qlZeroCouponBond(,,"EUR",3,"target",100,$B9,"f",100,,,Trigger)</f>
        <v>obj_00266#0001</v>
      </c>
      <c r="Q9" s="109">
        <f t="shared" ca="1" si="1"/>
        <v>99.86</v>
      </c>
      <c r="R9" s="109">
        <f t="shared" ref="R9" ca="1" si="8">Q9</f>
        <v>99.86</v>
      </c>
      <c r="S9" s="33" t="str">
        <f>IF(UPPER(S$1)="ABCD",_xll.RtContribute($D$3,$D9,$Q$3:$R$3,$Q9:$R9,"SCOPE:SERVER"),"--")</f>
        <v>--</v>
      </c>
      <c r="T9" s="33" t="str">
        <f t="shared" si="2"/>
        <v>EUR.PRICING.XLS_STRIPS.IT0004957764</v>
      </c>
      <c r="U9" s="33" t="str">
        <f>IF(UPPER($V$1)="ABCD",MKV_PUBLISHRECORD(T9, "XLS_STRIPS"),"--")</f>
        <v>--</v>
      </c>
      <c r="V9" s="33" t="str">
        <f>IF(UPPER(V$1)="ABCD",MKV_SUPPLYRECORD(T9, "Bid",E9, "Ask",G9, "Id",A9, "Mid",F9, "Name",C9,"DV01",M9,"MidYield",I9,"BidYield",H9,"AskYield",J9),"--")</f>
        <v>--</v>
      </c>
    </row>
    <row r="10" spans="1:22" x14ac:dyDescent="0.2">
      <c r="A10" s="72" t="s">
        <v>35</v>
      </c>
      <c r="B10" s="89">
        <v>42125</v>
      </c>
      <c r="C10" s="47" t="s">
        <v>313</v>
      </c>
      <c r="D10" s="47" t="s">
        <v>314</v>
      </c>
      <c r="E10" s="109">
        <f ca="1"/>
        <v>99.78</v>
      </c>
      <c r="F10" s="109">
        <f ca="1"/>
        <v>99.801168088542596</v>
      </c>
      <c r="G10" s="109">
        <f t="shared" ca="1" si="0"/>
        <v>99.822336177085191</v>
      </c>
      <c r="H10" s="109">
        <f ca="1">_xll.qlBondYieldFromCleanPrice(N10,E10,YieldDayCounter,YieldCompounding,YieldFrequency)*100</f>
        <v>0.41309942265227489</v>
      </c>
      <c r="I10" s="109">
        <f ca="1">_xll.qlBondYieldFromCleanPrice(O10,F10,YieldDayCounter,YieldCompounding,YieldFrequency)*100</f>
        <v>0.37323784783855118</v>
      </c>
      <c r="J10" s="109">
        <f ca="1">_xll.qlBondYieldFromCleanPrice(P10,G10,YieldDayCounter,YieldCompounding,YieldFrequency)*100</f>
        <v>0.33340054047645584</v>
      </c>
      <c r="K10" s="109">
        <f ca="1">_xll.qlBondDurationFromYield(O10,I10,YieldDayCounter,YieldCompounding,YieldFrequency,K$2)</f>
        <v>0.38904154599537089</v>
      </c>
      <c r="L10" s="109">
        <f ca="1">_xll.qlBondConvexityFromYield(O10,I10/100,YieldDayCounter,YieldCompounding,YieldFrequency)</f>
        <v>0.81358145704841933</v>
      </c>
      <c r="M10" s="109" t="e">
        <f t="shared" ca="1" si="3"/>
        <v>#NAME?</v>
      </c>
      <c r="N10" s="109" t="str">
        <f>_xll.qlZeroCouponBond(,,"EUR",3,"target",100,$B10,"f",100,,,Trigger)</f>
        <v>obj_0030d#0001</v>
      </c>
      <c r="O10" s="109" t="str">
        <f>_xll.qlZeroCouponBond(,,"EUR",3,"target",100,$B10,"f",100,,,Trigger)</f>
        <v>obj_003ab#0001</v>
      </c>
      <c r="P10" s="109" t="str">
        <f>_xll.qlZeroCouponBond(,,"EUR",3,"target",100,$B10,"f",100,,,Trigger)</f>
        <v>obj_00230#0001</v>
      </c>
      <c r="Q10" s="109">
        <f t="shared" ca="1" si="1"/>
        <v>99.78</v>
      </c>
      <c r="R10" s="109">
        <f t="shared" ref="R10" ca="1" si="9">Q10</f>
        <v>99.78</v>
      </c>
      <c r="S10" s="33" t="str">
        <f>IF(UPPER(S$1)="ABCD",_xll.RtContribute($D$3,$D10,$Q$3:$R$3,$Q10:$R10,"SCOPE:SERVER"),"--")</f>
        <v>--</v>
      </c>
      <c r="T10" s="33" t="str">
        <f t="shared" si="2"/>
        <v>EUR.PRICING.XLS_STRIPS.IT0001247151</v>
      </c>
      <c r="U10" s="33" t="str">
        <f>IF(UPPER($V$1)="ABCD",MKV_PUBLISHRECORD(T10, "XLS_STRIPS"),"--")</f>
        <v>--</v>
      </c>
      <c r="V10" s="33" t="str">
        <f>IF(UPPER(V$1)="ABCD",MKV_SUPPLYRECORD(T10, "Bid",E10, "Ask",G10, "Id",A10, "Mid",F10, "Name",C10,"DV01",M10,"MidYield",I10,"BidYield",H10,"AskYield",J10),"--")</f>
        <v>--</v>
      </c>
    </row>
    <row r="11" spans="1:22" x14ac:dyDescent="0.2">
      <c r="A11" s="72" t="s">
        <v>315</v>
      </c>
      <c r="B11" s="89">
        <v>42217</v>
      </c>
      <c r="C11" s="47" t="s">
        <v>316</v>
      </c>
      <c r="D11" s="47" t="s">
        <v>317</v>
      </c>
      <c r="E11" s="109">
        <f ca="1"/>
        <v>99.61</v>
      </c>
      <c r="F11" s="109">
        <f ca="1"/>
        <v>99.647096791961161</v>
      </c>
      <c r="G11" s="109">
        <f t="shared" ca="1" si="0"/>
        <v>99.684193583922323</v>
      </c>
      <c r="H11" s="109">
        <f ca="1">_xll.qlBondYieldFromCleanPrice(N11,E11,YieldDayCounter,YieldCompounding,YieldFrequency)*100</f>
        <v>0.49994595220312493</v>
      </c>
      <c r="I11" s="109">
        <f ca="1">_xll.qlBondYieldFromCleanPrice(O11,F11,YieldDayCounter,YieldCompounding,YieldFrequency)*100</f>
        <v>0.4521994004659356</v>
      </c>
      <c r="J11" s="109">
        <f ca="1">_xll.qlBondYieldFromCleanPrice(P11,G11,YieldDayCounter,YieldCompounding,YieldFrequency)*100</f>
        <v>0.40449328237577714</v>
      </c>
      <c r="K11" s="109">
        <f ca="1">_xll.qlBondDurationFromYield(O11,I11,YieldDayCounter,YieldCompounding,YieldFrequency,K$2)</f>
        <v>0.53956890739950192</v>
      </c>
      <c r="L11" s="109">
        <f ca="1">_xll.qlBondConvexityFromYield(O11,I11/100,YieldDayCounter,YieldCompounding,YieldFrequency)</f>
        <v>1.3849764624128045</v>
      </c>
      <c r="M11" s="109" t="e">
        <f t="shared" ca="1" si="3"/>
        <v>#NAME?</v>
      </c>
      <c r="N11" s="109" t="str">
        <f>_xll.qlZeroCouponBond(,,"EUR",3,"target",100,$B11,"f",100,,,Trigger)</f>
        <v>obj_00384#0001</v>
      </c>
      <c r="O11" s="109" t="str">
        <f>_xll.qlZeroCouponBond(,,"EUR",3,"target",100,$B11,"f",100,,,Trigger)</f>
        <v>obj_00383#0001</v>
      </c>
      <c r="P11" s="109" t="str">
        <f>_xll.qlZeroCouponBond(,,"EUR",3,"target",100,$B11,"f",100,,,Trigger)</f>
        <v>obj_002cd#0001</v>
      </c>
      <c r="Q11" s="109">
        <f t="shared" ca="1" si="1"/>
        <v>99.61</v>
      </c>
      <c r="R11" s="109">
        <f t="shared" ref="R11" ca="1" si="10">Q11</f>
        <v>99.61</v>
      </c>
      <c r="S11" s="33" t="str">
        <f>IF(UPPER(S$1)="ABCD",_xll.RtContribute($D$3,$D11,$Q$3:$R$3,$Q11:$R11,"SCOPE:SERVER"),"--")</f>
        <v>--</v>
      </c>
      <c r="T11" s="33" t="str">
        <f t="shared" si="2"/>
        <v>EUR.PRICING.XLS_STRIPS.IT0004848633</v>
      </c>
      <c r="U11" s="33" t="str">
        <f>IF(UPPER($V$1)="ABCD",MKV_PUBLISHRECORD(T11, "XLS_STRIPS"),"--")</f>
        <v>--</v>
      </c>
      <c r="V11" s="33" t="str">
        <f>IF(UPPER(V$1)="ABCD",MKV_SUPPLYRECORD(T11, "Bid",E11, "Ask",G11, "Id",A11, "Mid",F11, "Name",C11,"DV01",M11,"MidYield",I11,"BidYield",H11,"AskYield",J11),"--")</f>
        <v>--</v>
      </c>
    </row>
    <row r="12" spans="1:22" x14ac:dyDescent="0.2">
      <c r="A12" s="72" t="s">
        <v>126</v>
      </c>
      <c r="B12" s="89">
        <v>42248</v>
      </c>
      <c r="C12" s="47" t="s">
        <v>127</v>
      </c>
      <c r="D12" s="47" t="s">
        <v>128</v>
      </c>
      <c r="E12" s="109">
        <f ca="1"/>
        <v>99.54</v>
      </c>
      <c r="F12" s="109">
        <f ca="1"/>
        <v>99.58330276095073</v>
      </c>
      <c r="G12" s="109">
        <f t="shared" ca="1" si="0"/>
        <v>99.626605521901453</v>
      </c>
      <c r="H12" s="109">
        <f ca="1">_xll.qlBondYieldFromCleanPrice(N12,E12,YieldDayCounter,YieldCompounding,YieldFrequency)*100</f>
        <v>0.53567522449418947</v>
      </c>
      <c r="I12" s="109">
        <f ca="1">_xll.qlBondYieldFromCleanPrice(O12,F12,YieldDayCounter,YieldCompounding,YieldFrequency)*100</f>
        <v>0.48502088044956365</v>
      </c>
      <c r="J12" s="109">
        <f ca="1">_xll.qlBondYieldFromCleanPrice(P12,G12,YieldDayCounter,YieldCompounding,YieldFrequency)*100</f>
        <v>0.43441408385797464</v>
      </c>
      <c r="K12" s="109">
        <f ca="1">_xll.qlBondDurationFromYield(O12,I12,YieldDayCounter,YieldCompounding,YieldFrequency,K$2)</f>
        <v>0.58114583437296519</v>
      </c>
      <c r="L12" s="109">
        <f ca="1">_xll.qlBondConvexityFromYield(O12,I12/100,YieldDayCounter,YieldCompounding,YieldFrequency)</f>
        <v>1.5923226889665416</v>
      </c>
      <c r="M12" s="109" t="e">
        <f t="shared" ca="1" si="3"/>
        <v>#NAME?</v>
      </c>
      <c r="N12" s="109" t="str">
        <f>_xll.qlZeroCouponBond(,,"EUR",3,"target",100,$B12,"f",100,,,Trigger)</f>
        <v>obj_0036e#0001</v>
      </c>
      <c r="O12" s="109" t="str">
        <f>_xll.qlZeroCouponBond(,,"EUR",3,"target",100,$B12,"f",100,,,Trigger)</f>
        <v>obj_0039b#0001</v>
      </c>
      <c r="P12" s="109" t="str">
        <f>_xll.qlZeroCouponBond(,,"EUR",3,"target",100,$B12,"f",100,,,Trigger)</f>
        <v>obj_0032a#0001</v>
      </c>
      <c r="Q12" s="109">
        <f t="shared" ca="1" si="1"/>
        <v>99.54</v>
      </c>
      <c r="R12" s="109">
        <f t="shared" ref="R12" ca="1" si="11">Q12</f>
        <v>99.54</v>
      </c>
      <c r="S12" s="33" t="str">
        <f>IF(UPPER(S$1)="ABCD",_xll.RtContribute($D$3,$D12,$Q$3:$R$3,$Q12:$R12,"SCOPE:SERVER"),"--")</f>
        <v>--</v>
      </c>
      <c r="T12" s="33" t="str">
        <f t="shared" si="2"/>
        <v>EUR.PRICING.XLS_STRIPS.IT0004957772</v>
      </c>
      <c r="U12" s="33" t="str">
        <f>IF(UPPER($V$1)="ABCD",MKV_PUBLISHRECORD(T12, "XLS_STRIPS"),"--")</f>
        <v>--</v>
      </c>
      <c r="V12" s="33" t="str">
        <f>IF(UPPER(V$1)="ABCD",MKV_SUPPLYRECORD(T12, "Bid",E12, "Ask",G12, "Id",A12, "Mid",F12, "Name",C12,"DV01",M12,"MidYield",I12,"BidYield",H12,"AskYield",J12),"--")</f>
        <v>--</v>
      </c>
    </row>
    <row r="13" spans="1:22" x14ac:dyDescent="0.2">
      <c r="A13" s="72" t="s">
        <v>318</v>
      </c>
      <c r="B13" s="89">
        <v>42309</v>
      </c>
      <c r="C13" s="47" t="s">
        <v>319</v>
      </c>
      <c r="D13" s="47" t="s">
        <v>320</v>
      </c>
      <c r="E13" s="109">
        <f ca="1"/>
        <v>99.4</v>
      </c>
      <c r="F13" s="109">
        <f ca="1"/>
        <v>99.449378278989371</v>
      </c>
      <c r="G13" s="109">
        <f t="shared" ca="1" si="0"/>
        <v>99.498756557978737</v>
      </c>
      <c r="H13" s="109">
        <f ca="1">_xll.qlBondYieldFromCleanPrice(N13,E13,YieldDayCounter,YieldCompounding,YieldFrequency)*100</f>
        <v>0.58435227798938483</v>
      </c>
      <c r="I13" s="109">
        <f ca="1">_xll.qlBondYieldFromCleanPrice(O13,F13,YieldDayCounter,YieldCompounding,YieldFrequency)*100</f>
        <v>0.53599973844364324</v>
      </c>
      <c r="J13" s="109">
        <f ca="1">_xll.qlBondYieldFromCleanPrice(P13,G13,YieldDayCounter,YieldCompounding,YieldFrequency)*100</f>
        <v>0.48769443343207269</v>
      </c>
      <c r="K13" s="109">
        <f ca="1">_xll.qlBondDurationFromYield(O13,I13,YieldDayCounter,YieldCompounding,YieldFrequency,K$2)</f>
        <v>0.67244589076254213</v>
      </c>
      <c r="L13" s="109">
        <f ca="1">_xll.qlBondConvexityFromYield(O13,I13/100,YieldDayCounter,YieldCompounding,YieldFrequency)</f>
        <v>2.0773818107652717</v>
      </c>
      <c r="M13" s="109" t="e">
        <f t="shared" ca="1" si="3"/>
        <v>#NAME?</v>
      </c>
      <c r="N13" s="109" t="str">
        <f>_xll.qlZeroCouponBond(,,"EUR",3,"target",100,$B13,"f",100,,,Trigger)</f>
        <v>obj_002c8#0001</v>
      </c>
      <c r="O13" s="109" t="str">
        <f>_xll.qlZeroCouponBond(,,"EUR",3,"target",100,$B13,"f",100,,,Trigger)</f>
        <v>obj_0034f#0001</v>
      </c>
      <c r="P13" s="109" t="str">
        <f>_xll.qlZeroCouponBond(,,"EUR",3,"target",100,$B13,"f",100,,,Trigger)</f>
        <v>obj_003af#0001</v>
      </c>
      <c r="Q13" s="109">
        <f t="shared" ca="1" si="1"/>
        <v>99.4</v>
      </c>
      <c r="R13" s="109">
        <f t="shared" ref="R13" ca="1" si="12">Q13</f>
        <v>99.4</v>
      </c>
      <c r="S13" s="33" t="str">
        <f>IF(UPPER(S$1)="ABCD",_xll.RtContribute($D$3,$D13,$Q$3:$R$3,$Q13:$R13,"SCOPE:SERVER"),"--")</f>
        <v>--</v>
      </c>
      <c r="T13" s="33" t="str">
        <f t="shared" si="2"/>
        <v>EUR.PRICING.XLS_STRIPS.IT0004871353</v>
      </c>
      <c r="U13" s="33" t="str">
        <f>IF(UPPER($V$1)="ABCD",MKV_PUBLISHRECORD(T13, "XLS_STRIPS"),"--")</f>
        <v>--</v>
      </c>
      <c r="V13" s="33" t="str">
        <f>IF(UPPER(V$1)="ABCD",MKV_SUPPLYRECORD(T13, "Bid",E13, "Ask",G13, "Id",A13, "Mid",F13, "Name",C13,"DV01",M13,"MidYield",I13,"BidYield",H13,"AskYield",J13),"--")</f>
        <v>--</v>
      </c>
    </row>
    <row r="14" spans="1:22" x14ac:dyDescent="0.2">
      <c r="A14" s="72" t="s">
        <v>36</v>
      </c>
      <c r="B14" s="89">
        <v>42401</v>
      </c>
      <c r="C14" s="47" t="s">
        <v>321</v>
      </c>
      <c r="D14" s="47" t="s">
        <v>322</v>
      </c>
      <c r="E14" s="109">
        <f ca="1"/>
        <v>99.19</v>
      </c>
      <c r="F14" s="109">
        <f ca="1"/>
        <v>99.244058452818464</v>
      </c>
      <c r="G14" s="109">
        <f t="shared" ca="1" si="0"/>
        <v>99.298116905636931</v>
      </c>
      <c r="H14" s="109">
        <f ca="1">_xll.qlBondYieldFromCleanPrice(N14,E14,YieldDayCounter,YieldCompounding,YieldFrequency)*100</f>
        <v>0.63631914712051507</v>
      </c>
      <c r="I14" s="109">
        <f ca="1">_xll.qlBondYieldFromCleanPrice(O14,F14,YieldDayCounter,YieldCompounding,YieldFrequency)*100</f>
        <v>0.59356415318577405</v>
      </c>
      <c r="J14" s="109">
        <f ca="1">_xll.qlBondYieldFromCleanPrice(P14,G14,YieldDayCounter,YieldCompounding,YieldFrequency)*100</f>
        <v>0.55085057711973828</v>
      </c>
      <c r="K14" s="109">
        <f ca="1">_xll.qlBondDurationFromYield(O14,I14,YieldDayCounter,YieldCompounding,YieldFrequency,K$2)</f>
        <v>0.80460631488140832</v>
      </c>
      <c r="L14" s="109">
        <f ca="1">_xll.qlBondConvexityFromYield(O14,I14/100,YieldDayCounter,YieldCompounding,YieldFrequency)</f>
        <v>2.8917765628838663</v>
      </c>
      <c r="M14" s="109" t="e">
        <f t="shared" ca="1" si="3"/>
        <v>#NAME?</v>
      </c>
      <c r="N14" s="109" t="str">
        <f>_xll.qlZeroCouponBond(,,"EUR",3,"target",100,$B14,"f",100,,,Trigger)</f>
        <v>obj_00372#0001</v>
      </c>
      <c r="O14" s="109" t="str">
        <f>_xll.qlZeroCouponBond(,,"EUR",3,"target",100,$B14,"f",100,,,Trigger)</f>
        <v>obj_003d3#0001</v>
      </c>
      <c r="P14" s="109" t="str">
        <f>_xll.qlZeroCouponBond(,,"EUR",3,"target",100,$B14,"f",100,,,Trigger)</f>
        <v>obj_0026d#0001</v>
      </c>
      <c r="Q14" s="109">
        <f t="shared" ca="1" si="1"/>
        <v>99.19</v>
      </c>
      <c r="R14" s="109">
        <f t="shared" ref="R14" ca="1" si="13">Q14</f>
        <v>99.19</v>
      </c>
      <c r="S14" s="33" t="str">
        <f>IF(UPPER(S$1)="ABCD",_xll.RtContribute($D$3,$D14,$Q$3:$R$3,$Q14:$R14,"SCOPE:SERVER"),"--")</f>
        <v>--</v>
      </c>
      <c r="T14" s="33" t="str">
        <f t="shared" si="2"/>
        <v>EUR.PRICING.XLS_STRIPS.IT0003246318</v>
      </c>
      <c r="U14" s="33" t="str">
        <f>IF(UPPER($V$1)="ABCD",MKV_PUBLISHRECORD(T14, "XLS_STRIPS"),"--")</f>
        <v>--</v>
      </c>
      <c r="V14" s="33" t="str">
        <f>IF(UPPER(V$1)="ABCD",MKV_SUPPLYRECORD(T14, "Bid",E14, "Ask",G14, "Id",A14, "Mid",F14, "Name",C14,"DV01",M14,"MidYield",I14,"BidYield",H14,"AskYield",J14),"--")</f>
        <v>--</v>
      </c>
    </row>
    <row r="15" spans="1:22" x14ac:dyDescent="0.2">
      <c r="A15" s="72" t="s">
        <v>129</v>
      </c>
      <c r="B15" s="89">
        <v>42430</v>
      </c>
      <c r="C15" s="47" t="s">
        <v>130</v>
      </c>
      <c r="D15" s="47" t="s">
        <v>131</v>
      </c>
      <c r="E15" s="109">
        <f ca="1"/>
        <v>99.11</v>
      </c>
      <c r="F15" s="109">
        <f ca="1"/>
        <v>99.170828812191672</v>
      </c>
      <c r="G15" s="109">
        <f t="shared" ca="1" si="0"/>
        <v>99.231657624383345</v>
      </c>
      <c r="H15" s="109">
        <f ca="1">_xll.qlBondYieldFromCleanPrice(N15,E15,YieldDayCounter,YieldCompounding,YieldFrequency)*100</f>
        <v>0.66004013547446738</v>
      </c>
      <c r="I15" s="109">
        <f ca="1">_xll.qlBondYieldFromCleanPrice(O15,F15,YieldDayCounter,YieldCompounding,YieldFrequency)*100</f>
        <v>0.61460111909426829</v>
      </c>
      <c r="J15" s="109">
        <f ca="1">_xll.qlBondYieldFromCleanPrice(P15,G15,YieldDayCounter,YieldCompounding,YieldFrequency)*100</f>
        <v>0.56921046693529231</v>
      </c>
      <c r="K15" s="109">
        <f ca="1">_xll.qlBondDurationFromYield(O15,I15,YieldDayCounter,YieldCompounding,YieldFrequency,K$2)</f>
        <v>0.84163456442501194</v>
      </c>
      <c r="L15" s="109">
        <f ca="1">_xll.qlBondConvexityFromYield(O15,I15/100,YieldDayCounter,YieldCompounding,YieldFrequency)</f>
        <v>3.1664824070515527</v>
      </c>
      <c r="M15" s="109" t="e">
        <f t="shared" ca="1" si="3"/>
        <v>#NAME?</v>
      </c>
      <c r="N15" s="109" t="str">
        <f>_xll.qlZeroCouponBond(,,"EUR",3,"target",100,$B15,"f",100,,,Trigger)</f>
        <v>obj_0024f#0001</v>
      </c>
      <c r="O15" s="109" t="str">
        <f>_xll.qlZeroCouponBond(,,"EUR",3,"target",100,$B15,"f",100,,,Trigger)</f>
        <v>obj_0026a#0001</v>
      </c>
      <c r="P15" s="109" t="str">
        <f>_xll.qlZeroCouponBond(,,"EUR",3,"target",100,$B15,"f",100,,,Trigger)</f>
        <v>obj_0037e#0001</v>
      </c>
      <c r="Q15" s="109">
        <f t="shared" ca="1" si="1"/>
        <v>99.11</v>
      </c>
      <c r="R15" s="109">
        <f t="shared" ref="R15" ca="1" si="14">Q15</f>
        <v>99.11</v>
      </c>
      <c r="S15" s="33" t="str">
        <f>IF(UPPER(S$1)="ABCD",_xll.RtContribute($D$3,$D15,$Q$3:$R$3,$Q15:$R15,"SCOPE:SERVER"),"--")</f>
        <v>--</v>
      </c>
      <c r="T15" s="33" t="str">
        <f t="shared" si="2"/>
        <v>EUR.PRICING.XLS_STRIPS.IT0004957780</v>
      </c>
      <c r="U15" s="33" t="str">
        <f>IF(UPPER($V$1)="ABCD",MKV_PUBLISHRECORD(T15, "XLS_STRIPS"),"--")</f>
        <v>--</v>
      </c>
      <c r="V15" s="33" t="str">
        <f>IF(UPPER(V$1)="ABCD",MKV_SUPPLYRECORD(T15, "Bid",E15, "Ask",G15, "Id",A15, "Mid",F15, "Name",C15,"DV01",M15,"MidYield",I15,"BidYield",H15,"AskYield",J15),"--")</f>
        <v>--</v>
      </c>
    </row>
    <row r="16" spans="1:22" x14ac:dyDescent="0.2">
      <c r="A16" s="72" t="s">
        <v>37</v>
      </c>
      <c r="B16" s="89">
        <v>42491</v>
      </c>
      <c r="C16" s="47" t="s">
        <v>323</v>
      </c>
      <c r="D16" s="47" t="s">
        <v>324</v>
      </c>
      <c r="E16" s="109">
        <f ca="1"/>
        <v>98.92</v>
      </c>
      <c r="F16" s="109">
        <f ca="1"/>
        <v>98.987035286660458</v>
      </c>
      <c r="G16" s="109">
        <f t="shared" ca="1" si="0"/>
        <v>99.054070573320914</v>
      </c>
      <c r="H16" s="109">
        <f ca="1">_xll.qlBondYieldFromCleanPrice(N16,E16,YieldDayCounter,YieldCompounding,YieldFrequency)*100</f>
        <v>0.71282271339996661</v>
      </c>
      <c r="I16" s="109">
        <f ca="1">_xll.qlBondYieldFromCleanPrice(O16,F16,YieldDayCounter,YieldCompounding,YieldFrequency)*100</f>
        <v>0.66820374848096331</v>
      </c>
      <c r="J16" s="109">
        <f ca="1">_xll.qlBondYieldFromCleanPrice(P16,G16,YieldDayCounter,YieldCompounding,YieldFrequency)*100</f>
        <v>0.62363474993251455</v>
      </c>
      <c r="K16" s="109">
        <f ca="1">_xll.qlBondDurationFromYield(O16,I16,YieldDayCounter,YieldCompounding,YieldFrequency,K$2)</f>
        <v>0.9164151109717501</v>
      </c>
      <c r="L16" s="109">
        <f ca="1">_xll.qlBondConvexityFromYield(O16,I16/100,YieldDayCounter,YieldCompounding,YieldFrequency)</f>
        <v>3.8147451731082693</v>
      </c>
      <c r="M16" s="109" t="e">
        <f t="shared" ca="1" si="3"/>
        <v>#NAME?</v>
      </c>
      <c r="N16" s="109" t="str">
        <f>_xll.qlZeroCouponBond(,,"EUR",3,"target",100,$B16,"f",100,,,Trigger)</f>
        <v>obj_002a5#0001</v>
      </c>
      <c r="O16" s="109" t="str">
        <f>_xll.qlZeroCouponBond(,,"EUR",3,"target",100,$B16,"f",100,,,Trigger)</f>
        <v>obj_0031f#0001</v>
      </c>
      <c r="P16" s="109" t="str">
        <f>_xll.qlZeroCouponBond(,,"EUR",3,"target",100,$B16,"f",100,,,Trigger)</f>
        <v>obj_00236#0001</v>
      </c>
      <c r="Q16" s="109">
        <f t="shared" ca="1" si="1"/>
        <v>98.92</v>
      </c>
      <c r="R16" s="109">
        <f t="shared" ref="R16" ca="1" si="15">Q16</f>
        <v>98.92</v>
      </c>
      <c r="S16" s="33" t="str">
        <f>IF(UPPER(S$1)="ABCD",_xll.RtContribute($D$3,$D16,$Q$3:$R$3,$Q16:$R16,"SCOPE:SERVER"),"--")</f>
        <v>--</v>
      </c>
      <c r="T16" s="33" t="str">
        <f t="shared" si="2"/>
        <v>EUR.PRICING.XLS_STRIPS.IT0001247177</v>
      </c>
      <c r="U16" s="33" t="str">
        <f>IF(UPPER($V$1)="ABCD",MKV_PUBLISHRECORD(T16, "XLS_STRIPS"),"--")</f>
        <v>--</v>
      </c>
      <c r="V16" s="33" t="str">
        <f>IF(UPPER(V$1)="ABCD",MKV_SUPPLYRECORD(T16, "Bid",E16, "Ask",G16, "Id",A16, "Mid",F16, "Name",C16,"DV01",M16,"MidYield",I16,"BidYield",H16,"AskYield",J16),"--")</f>
        <v>--</v>
      </c>
    </row>
    <row r="17" spans="1:22" x14ac:dyDescent="0.2">
      <c r="A17" s="72" t="s">
        <v>325</v>
      </c>
      <c r="B17" s="89">
        <v>42583</v>
      </c>
      <c r="C17" s="47" t="s">
        <v>326</v>
      </c>
      <c r="D17" s="47" t="s">
        <v>327</v>
      </c>
      <c r="E17" s="109">
        <f ca="1"/>
        <v>98.55</v>
      </c>
      <c r="F17" s="109">
        <f ca="1"/>
        <v>98.62854276290075</v>
      </c>
      <c r="G17" s="109">
        <f t="shared" ca="1" si="0"/>
        <v>98.707085525801503</v>
      </c>
      <c r="H17" s="109">
        <f ca="1">_xll.qlBondYieldFromCleanPrice(N17,E17,YieldDayCounter,YieldCompounding,YieldFrequency)*100</f>
        <v>0.82483860941008869</v>
      </c>
      <c r="I17" s="109">
        <f ca="1">_xll.qlBondYieldFromCleanPrice(O17,F17,YieldDayCounter,YieldCompounding,YieldFrequency)*100</f>
        <v>0.77967434123530999</v>
      </c>
      <c r="J17" s="109">
        <f ca="1">_xll.qlBondYieldFromCleanPrice(P17,G17,YieldDayCounter,YieldCompounding,YieldFrequency)*100</f>
        <v>0.73456624750420485</v>
      </c>
      <c r="K17" s="109">
        <f ca="1">_xll.qlBondDurationFromYield(O17,I17,YieldDayCounter,YieldCompounding,YieldFrequency,K$2)</f>
        <v>0.99910537033793334</v>
      </c>
      <c r="L17" s="109">
        <f ca="1">_xll.qlBondConvexityFromYield(O17,I17/100,YieldDayCounter,YieldCompounding,YieldFrequency)</f>
        <v>4.8635235326382178</v>
      </c>
      <c r="M17" s="109" t="e">
        <f t="shared" ca="1" si="3"/>
        <v>#NAME?</v>
      </c>
      <c r="N17" s="109" t="str">
        <f>_xll.qlZeroCouponBond(,,"EUR",3,"target",100,$B17,"f",100,,,Trigger)</f>
        <v>obj_003a2#0001</v>
      </c>
      <c r="O17" s="109" t="str">
        <f>_xll.qlZeroCouponBond(,,"EUR",3,"target",100,$B17,"f",100,,,Trigger)</f>
        <v>obj_00292#0001</v>
      </c>
      <c r="P17" s="109" t="str">
        <f>_xll.qlZeroCouponBond(,,"EUR",3,"target",100,$B17,"f",100,,,Trigger)</f>
        <v>obj_002bd#0001</v>
      </c>
      <c r="Q17" s="109">
        <f t="shared" ca="1" si="1"/>
        <v>98.55</v>
      </c>
      <c r="R17" s="109">
        <f t="shared" ref="R17" ca="1" si="16">Q17</f>
        <v>98.55</v>
      </c>
      <c r="S17" s="33" t="str">
        <f>IF(UPPER(S$1)="ABCD",_xll.RtContribute($D$3,$D17,$Q$3:$R$3,$Q17:$R17,"SCOPE:SERVER"),"--")</f>
        <v>--</v>
      </c>
      <c r="T17" s="33" t="str">
        <f t="shared" si="2"/>
        <v>EUR.PRICING.XLS_STRIPS.IT0004848666</v>
      </c>
      <c r="U17" s="33" t="str">
        <f>IF(UPPER($V$1)="ABCD",MKV_PUBLISHRECORD(T17, "XLS_STRIPS"),"--")</f>
        <v>--</v>
      </c>
      <c r="V17" s="33" t="str">
        <f>IF(UPPER(V$1)="ABCD",MKV_SUPPLYRECORD(T17, "Bid",E17, "Ask",G17, "Id",A17, "Mid",F17, "Name",C17,"DV01",M17,"MidYield",I17,"BidYield",H17,"AskYield",J17),"--")</f>
        <v>--</v>
      </c>
    </row>
    <row r="18" spans="1:22" x14ac:dyDescent="0.2">
      <c r="A18" s="72" t="s">
        <v>132</v>
      </c>
      <c r="B18" s="89">
        <v>42614</v>
      </c>
      <c r="C18" s="47" t="s">
        <v>133</v>
      </c>
      <c r="D18" s="47" t="s">
        <v>134</v>
      </c>
      <c r="E18" s="109">
        <f ca="1"/>
        <v>98.42</v>
      </c>
      <c r="F18" s="109">
        <f ca="1"/>
        <v>98.49688440492335</v>
      </c>
      <c r="G18" s="109">
        <f t="shared" ca="1" si="0"/>
        <v>98.573768809846698</v>
      </c>
      <c r="H18" s="109">
        <f ca="1">_xll.qlBondYieldFromCleanPrice(N18,E18,YieldDayCounter,YieldCompounding,YieldFrequency)*100</f>
        <v>0.85852391404286077</v>
      </c>
      <c r="I18" s="109">
        <f ca="1">_xll.qlBondYieldFromCleanPrice(O18,F18,YieldDayCounter,YieldCompounding,YieldFrequency)*100</f>
        <v>0.81625793599561824</v>
      </c>
      <c r="J18" s="109">
        <f ca="1">_xll.qlBondYieldFromCleanPrice(P18,G18,YieldDayCounter,YieldCompounding,YieldFrequency)*100</f>
        <v>0.77404262876138108</v>
      </c>
      <c r="K18" s="109">
        <f ca="1">_xll.qlBondDurationFromYield(O18,I18,YieldDayCounter,YieldCompounding,YieldFrequency,K$2)</f>
        <v>1.0257429089271337</v>
      </c>
      <c r="L18" s="109">
        <f ca="1">_xll.qlBondConvexityFromYield(O18,I18/100,YieldDayCounter,YieldCompounding,YieldFrequency)</f>
        <v>5.2478127147129197</v>
      </c>
      <c r="M18" s="109" t="e">
        <f t="shared" ca="1" si="3"/>
        <v>#NAME?</v>
      </c>
      <c r="N18" s="109" t="str">
        <f>_xll.qlZeroCouponBond(,,"EUR",3,"target",100,$B18,"f",100,,,Trigger)</f>
        <v>obj_003c8#0001</v>
      </c>
      <c r="O18" s="109" t="str">
        <f>_xll.qlZeroCouponBond(,,"EUR",3,"target",100,$B18,"f",100,,,Trigger)</f>
        <v>obj_002df#0001</v>
      </c>
      <c r="P18" s="109" t="str">
        <f>_xll.qlZeroCouponBond(,,"EUR",3,"target",100,$B18,"f",100,,,Trigger)</f>
        <v>obj_002bb#0001</v>
      </c>
      <c r="Q18" s="109">
        <f t="shared" ca="1" si="1"/>
        <v>98.42</v>
      </c>
      <c r="R18" s="109">
        <f t="shared" ref="R18" ca="1" si="17">Q18</f>
        <v>98.42</v>
      </c>
      <c r="S18" s="33" t="str">
        <f>IF(UPPER(S$1)="ABCD",_xll.RtContribute($D$3,$D18,$Q$3:$R$3,$Q18:$R18,"SCOPE:SERVER"),"--")</f>
        <v>--</v>
      </c>
      <c r="T18" s="33" t="str">
        <f t="shared" si="2"/>
        <v>EUR.PRICING.XLS_STRIPS.IT0004957798</v>
      </c>
      <c r="U18" s="33" t="str">
        <f>IF(UPPER($V$1)="ABCD",MKV_PUBLISHRECORD(T18, "XLS_STRIPS"),"--")</f>
        <v>--</v>
      </c>
      <c r="V18" s="33" t="str">
        <f>IF(UPPER(V$1)="ABCD",MKV_SUPPLYRECORD(T18, "Bid",E18, "Ask",G18, "Id",A18, "Mid",F18, "Name",C18,"DV01",M18,"MidYield",I18,"BidYield",H18,"AskYield",J18),"--")</f>
        <v>--</v>
      </c>
    </row>
    <row r="19" spans="1:22" x14ac:dyDescent="0.2">
      <c r="A19" s="72" t="s">
        <v>38</v>
      </c>
      <c r="B19" s="89">
        <v>42675</v>
      </c>
      <c r="C19" s="47" t="s">
        <v>328</v>
      </c>
      <c r="D19" s="47" t="s">
        <v>329</v>
      </c>
      <c r="E19" s="109">
        <f ca="1"/>
        <v>98.19</v>
      </c>
      <c r="F19" s="109">
        <f ca="1"/>
        <v>98.279633137057559</v>
      </c>
      <c r="G19" s="109">
        <f t="shared" ca="1" si="0"/>
        <v>98.36926627411512</v>
      </c>
      <c r="H19" s="109">
        <f ca="1">_xll.qlBondYieldFromCleanPrice(N19,E19,YieldDayCounter,YieldCompounding,YieldFrequency)*100</f>
        <v>0.90379258693382147</v>
      </c>
      <c r="I19" s="109">
        <f ca="1">_xll.qlBondYieldFromCleanPrice(O19,F19,YieldDayCounter,YieldCompounding,YieldFrequency)*100</f>
        <v>0.85845193987712332</v>
      </c>
      <c r="J19" s="109">
        <f ca="1">_xll.qlBondYieldFromCleanPrice(P19,G19,YieldDayCounter,YieldCompounding,YieldFrequency)*100</f>
        <v>0.81317297093197738</v>
      </c>
      <c r="K19" s="109">
        <f ca="1">_xll.qlBondDurationFromYield(O19,I19,YieldDayCounter,YieldCompounding,YieldFrequency,K$2)</f>
        <v>1.0923806759488213</v>
      </c>
      <c r="L19" s="109">
        <f ca="1">_xll.qlBondConvexityFromYield(O19,I19/100,YieldDayCounter,YieldCompounding,YieldFrequency)</f>
        <v>6.0473208323582295</v>
      </c>
      <c r="M19" s="109" t="e">
        <f t="shared" ca="1" si="3"/>
        <v>#NAME?</v>
      </c>
      <c r="N19" s="109" t="str">
        <f>_xll.qlZeroCouponBond(,,"EUR",3,"target",100,$B19,"f",100,,,Trigger)</f>
        <v>obj_00361#0001</v>
      </c>
      <c r="O19" s="109" t="str">
        <f>_xll.qlZeroCouponBond(,,"EUR",3,"target",100,$B19,"f",100,,,Trigger)</f>
        <v>obj_00314#0001</v>
      </c>
      <c r="P19" s="109" t="str">
        <f>_xll.qlZeroCouponBond(,,"EUR",3,"target",100,$B19,"f",100,,,Trigger)</f>
        <v>obj_00256#0001</v>
      </c>
      <c r="Q19" s="109">
        <f t="shared" ca="1" si="1"/>
        <v>98.19</v>
      </c>
      <c r="R19" s="109">
        <f t="shared" ref="R19" ca="1" si="18">Q19</f>
        <v>98.19</v>
      </c>
      <c r="S19" s="33" t="str">
        <f>IF(UPPER(S$1)="ABCD",_xll.RtContribute($D$3,$D19,$Q$3:$R$3,$Q19:$R19,"SCOPE:SERVER"),"--")</f>
        <v>--</v>
      </c>
      <c r="T19" s="33" t="str">
        <f t="shared" si="2"/>
        <v>EUR.PRICING.XLS_STRIPS.IT0001247185</v>
      </c>
      <c r="U19" s="33" t="str">
        <f>IF(UPPER($V$1)="ABCD",MKV_PUBLISHRECORD(T19, "XLS_STRIPS"),"--")</f>
        <v>--</v>
      </c>
      <c r="V19" s="33" t="str">
        <f>IF(UPPER(V$1)="ABCD",MKV_SUPPLYRECORD(T19, "Bid",E19, "Ask",G19, "Id",A19, "Mid",F19, "Name",C19,"DV01",M19,"MidYield",I19,"BidYield",H19,"AskYield",J19),"--")</f>
        <v>--</v>
      </c>
    </row>
    <row r="20" spans="1:22" x14ac:dyDescent="0.2">
      <c r="A20" s="72" t="s">
        <v>330</v>
      </c>
      <c r="B20" s="89">
        <v>42767</v>
      </c>
      <c r="C20" s="47" t="s">
        <v>331</v>
      </c>
      <c r="D20" s="47" t="s">
        <v>332</v>
      </c>
      <c r="E20" s="109">
        <f ca="1"/>
        <v>97.9</v>
      </c>
      <c r="F20" s="109">
        <f ca="1"/>
        <v>97.991286549425809</v>
      </c>
      <c r="G20" s="109">
        <f t="shared" ca="1" si="0"/>
        <v>98.082573098851611</v>
      </c>
      <c r="H20" s="109">
        <f ca="1">_xll.qlBondYieldFromCleanPrice(N20,E20,YieldDayCounter,YieldCompounding,YieldFrequency)*100</f>
        <v>0.93430490258708598</v>
      </c>
      <c r="I20" s="109">
        <f ca="1">_xll.qlBondYieldFromCleanPrice(O20,F20,YieldDayCounter,YieldCompounding,YieldFrequency)*100</f>
        <v>0.89309327045344644</v>
      </c>
      <c r="J20" s="109">
        <f ca="1">_xll.qlBondYieldFromCleanPrice(P20,G20,YieldDayCounter,YieldCompounding,YieldFrequency)*100</f>
        <v>0.85193682922795433</v>
      </c>
      <c r="K20" s="109">
        <f ca="1">_xll.qlBondDurationFromYield(O20,I20,YieldDayCounter,YieldCompounding,YieldFrequency,K$2)</f>
        <v>1.2055358372676861</v>
      </c>
      <c r="L20" s="109">
        <f ca="1">_xll.qlBondConvexityFromYield(O20,I20/100,YieldDayCounter,YieldCompounding,YieldFrequency)</f>
        <v>7.3585664509898292</v>
      </c>
      <c r="M20" s="109" t="e">
        <f t="shared" ca="1" si="3"/>
        <v>#NAME?</v>
      </c>
      <c r="N20" s="109" t="str">
        <f>_xll.qlZeroCouponBond(,,"EUR",3,"target",100,$B20,"f",100,,,Trigger)</f>
        <v>obj_002c6#0001</v>
      </c>
      <c r="O20" s="109" t="str">
        <f>_xll.qlZeroCouponBond(,,"EUR",3,"target",100,$B20,"f",100,,,Trigger)</f>
        <v>obj_003cc#0001</v>
      </c>
      <c r="P20" s="109" t="str">
        <f>_xll.qlZeroCouponBond(,,"EUR",3,"target",100,$B20,"f",100,,,Trigger)</f>
        <v>obj_0037a#0001</v>
      </c>
      <c r="Q20" s="109">
        <f t="shared" ca="1" si="1"/>
        <v>97.9</v>
      </c>
      <c r="R20" s="109">
        <f t="shared" ref="R20" ca="1" si="19">Q20</f>
        <v>97.9</v>
      </c>
      <c r="S20" s="33" t="str">
        <f>IF(UPPER(S$1)="ABCD",_xll.RtContribute($D$3,$D20,$Q$3:$R$3,$Q20:$R20,"SCOPE:SERVER"),"--")</f>
        <v>--</v>
      </c>
      <c r="T20" s="33" t="str">
        <f t="shared" si="2"/>
        <v>EUR.PRICING.XLS_STRIPS.IT0004848674</v>
      </c>
      <c r="U20" s="33" t="str">
        <f>IF(UPPER($V$1)="ABCD",MKV_PUBLISHRECORD(T20, "XLS_STRIPS"),"--")</f>
        <v>--</v>
      </c>
      <c r="V20" s="33" t="str">
        <f>IF(UPPER(V$1)="ABCD",MKV_SUPPLYRECORD(T20, "Bid",E20, "Ask",G20, "Id",A20, "Mid",F20, "Name",C20,"DV01",M20,"MidYield",I20,"BidYield",H20,"AskYield",J20),"--")</f>
        <v>--</v>
      </c>
    </row>
    <row r="21" spans="1:22" x14ac:dyDescent="0.2">
      <c r="A21" s="72" t="s">
        <v>135</v>
      </c>
      <c r="B21" s="89">
        <v>42795</v>
      </c>
      <c r="C21" s="47" t="s">
        <v>136</v>
      </c>
      <c r="D21" s="47" t="s">
        <v>137</v>
      </c>
      <c r="E21" s="109">
        <f ca="1"/>
        <v>97.79</v>
      </c>
      <c r="F21" s="109">
        <f ca="1"/>
        <v>97.88425627348839</v>
      </c>
      <c r="G21" s="109">
        <f t="shared" ca="1" si="0"/>
        <v>97.978512546976773</v>
      </c>
      <c r="H21" s="109">
        <f ca="1">_xll.qlBondYieldFromCleanPrice(N21,E21,YieldDayCounter,YieldCompounding,YieldFrequency)*100</f>
        <v>0.95188517775759152</v>
      </c>
      <c r="I21" s="109">
        <f ca="1">_xll.qlBondYieldFromCleanPrice(O21,F21,YieldDayCounter,YieldCompounding,YieldFrequency)*100</f>
        <v>0.91066384875235684</v>
      </c>
      <c r="J21" s="109">
        <f ca="1">_xll.qlBondYieldFromCleanPrice(P21,G21,YieldDayCounter,YieldCompounding,YieldFrequency)*100</f>
        <v>0.86949900036677774</v>
      </c>
      <c r="K21" s="109">
        <f ca="1">_xll.qlBondDurationFromYield(O21,I21,YieldDayCounter,YieldCompounding,YieldFrequency,K$2)</f>
        <v>1.2345992264046761</v>
      </c>
      <c r="L21" s="109">
        <f ca="1">_xll.qlBondConvexityFromYield(O21,I21/100,YieldDayCounter,YieldCompounding,YieldFrequency)</f>
        <v>7.7809704551833647</v>
      </c>
      <c r="M21" s="109" t="e">
        <f t="shared" ca="1" si="3"/>
        <v>#NAME?</v>
      </c>
      <c r="N21" s="109" t="str">
        <f>_xll.qlZeroCouponBond(,,"EUR",3,"target",100,$B21,"f",100,,,Trigger)</f>
        <v>obj_0034d#0001</v>
      </c>
      <c r="O21" s="109" t="str">
        <f>_xll.qlZeroCouponBond(,,"EUR",3,"target",100,$B21,"f",100,,,Trigger)</f>
        <v>obj_0033f#0001</v>
      </c>
      <c r="P21" s="109" t="str">
        <f>_xll.qlZeroCouponBond(,,"EUR",3,"target",100,$B21,"f",100,,,Trigger)</f>
        <v>obj_0036d#0001</v>
      </c>
      <c r="Q21" s="109">
        <f t="shared" ca="1" si="1"/>
        <v>97.79</v>
      </c>
      <c r="R21" s="109">
        <f t="shared" ref="R21" ca="1" si="20">Q21</f>
        <v>97.79</v>
      </c>
      <c r="S21" s="33" t="str">
        <f>IF(UPPER(S$1)="ABCD",_xll.RtContribute($D$3,$D21,$Q$3:$R$3,$Q21:$R21,"SCOPE:SERVER"),"--")</f>
        <v>--</v>
      </c>
      <c r="T21" s="33" t="str">
        <f t="shared" si="2"/>
        <v>EUR.PRICING.XLS_STRIPS.IT0004957806</v>
      </c>
      <c r="U21" s="33" t="str">
        <f>IF(UPPER($V$1)="ABCD",MKV_PUBLISHRECORD(T21, "XLS_STRIPS"),"--")</f>
        <v>--</v>
      </c>
      <c r="V21" s="33" t="str">
        <f>IF(UPPER(V$1)="ABCD",MKV_SUPPLYRECORD(T21, "Bid",E21, "Ask",G21, "Id",A21, "Mid",F21, "Name",C21,"DV01",M21,"MidYield",I21,"BidYield",H21,"AskYield",J21),"--")</f>
        <v>--</v>
      </c>
    </row>
    <row r="22" spans="1:22" x14ac:dyDescent="0.2">
      <c r="A22" s="72" t="s">
        <v>333</v>
      </c>
      <c r="B22" s="89">
        <v>42856</v>
      </c>
      <c r="C22" s="47" t="s">
        <v>334</v>
      </c>
      <c r="D22" s="47" t="s">
        <v>335</v>
      </c>
      <c r="E22" s="109">
        <f ca="1"/>
        <v>97.53</v>
      </c>
      <c r="F22" s="109">
        <f ca="1"/>
        <v>97.62892106413095</v>
      </c>
      <c r="G22" s="109">
        <f t="shared" ca="1" si="0"/>
        <v>97.727842128261898</v>
      </c>
      <c r="H22" s="109">
        <f ca="1">_xll.qlBondYieldFromCleanPrice(N22,E22,YieldDayCounter,YieldCompounding,YieldFrequency)*100</f>
        <v>0.99393296990171087</v>
      </c>
      <c r="I22" s="109">
        <f ca="1">_xll.qlBondYieldFromCleanPrice(O22,F22,YieldDayCounter,YieldCompounding,YieldFrequency)*100</f>
        <v>0.9534539755843584</v>
      </c>
      <c r="J22" s="109">
        <f ca="1">_xll.qlBondYieldFromCleanPrice(P22,G22,YieldDayCounter,YieldCompounding,YieldFrequency)*100</f>
        <v>0.9130321579240267</v>
      </c>
      <c r="K22" s="109">
        <f ca="1">_xll.qlBondDurationFromYield(O22,I22,YieldDayCounter,YieldCompounding,YieldFrequency,K$2)</f>
        <v>1.2945107255630188</v>
      </c>
      <c r="L22" s="109">
        <f ca="1">_xll.qlBondConvexityFromYield(O22,I22/100,YieldDayCounter,YieldCompounding,YieldFrequency)</f>
        <v>8.7556717309174825</v>
      </c>
      <c r="M22" s="109" t="e">
        <f t="shared" ca="1" si="3"/>
        <v>#NAME?</v>
      </c>
      <c r="N22" s="109" t="str">
        <f>_xll.qlZeroCouponBond(,,"EUR",3,"target",100,$B22,"f",100,,,Trigger)</f>
        <v>obj_002f4#0001</v>
      </c>
      <c r="O22" s="109" t="str">
        <f>_xll.qlZeroCouponBond(,,"EUR",3,"target",100,$B22,"f",100,,,Trigger)</f>
        <v>obj_002ed#0001</v>
      </c>
      <c r="P22" s="109" t="str">
        <f>_xll.qlZeroCouponBond(,,"EUR",3,"target",100,$B22,"f",100,,,Trigger)</f>
        <v>obj_00320#0001</v>
      </c>
      <c r="Q22" s="109">
        <f t="shared" ca="1" si="1"/>
        <v>97.53</v>
      </c>
      <c r="R22" s="109">
        <f t="shared" ref="R22" ca="1" si="21">Q22</f>
        <v>97.53</v>
      </c>
      <c r="S22" s="33" t="str">
        <f>IF(UPPER(S$1)="ABCD",_xll.RtContribute($D$3,$D22,$Q$3:$R$3,$Q22:$R22,"SCOPE:SERVER"),"--")</f>
        <v>--</v>
      </c>
      <c r="T22" s="33" t="str">
        <f t="shared" si="2"/>
        <v>EUR.PRICING.XLS_STRIPS.IT0004848807</v>
      </c>
      <c r="U22" s="33" t="str">
        <f>IF(UPPER($V$1)="ABCD",MKV_PUBLISHRECORD(T22, "XLS_STRIPS"),"--")</f>
        <v>--</v>
      </c>
      <c r="V22" s="33" t="str">
        <f>IF(UPPER(V$1)="ABCD",MKV_SUPPLYRECORD(T22, "Bid",E22, "Ask",G22, "Id",A22, "Mid",F22, "Name",C22,"DV01",M22,"MidYield",I22,"BidYield",H22,"AskYield",J22),"--")</f>
        <v>--</v>
      </c>
    </row>
    <row r="23" spans="1:22" x14ac:dyDescent="0.2">
      <c r="A23" s="72" t="s">
        <v>336</v>
      </c>
      <c r="B23" s="89">
        <v>42948</v>
      </c>
      <c r="C23" s="47" t="s">
        <v>337</v>
      </c>
      <c r="D23" s="47" t="s">
        <v>338</v>
      </c>
      <c r="E23" s="109">
        <f ca="1"/>
        <v>97.2</v>
      </c>
      <c r="F23" s="109">
        <f ca="1"/>
        <v>97.317114344586358</v>
      </c>
      <c r="G23" s="109">
        <f t="shared" ca="1" si="0"/>
        <v>97.434228689172713</v>
      </c>
      <c r="H23" s="109">
        <f ca="1">_xll.qlBondYieldFromCleanPrice(N23,E23,YieldDayCounter,YieldCompounding,YieldFrequency)*100</f>
        <v>1.0275120692364876</v>
      </c>
      <c r="I23" s="109">
        <f ca="1">_xll.qlBondYieldFromCleanPrice(O23,F23,YieldDayCounter,YieldCompounding,YieldFrequency)*100</f>
        <v>0.98373136334692735</v>
      </c>
      <c r="J23" s="109">
        <f ca="1">_xll.qlBondYieldFromCleanPrice(P23,G23,YieldDayCounter,YieldCompounding,YieldFrequency)*100</f>
        <v>0.94002225727960498</v>
      </c>
      <c r="K23" s="109">
        <f ca="1">_xll.qlBondDurationFromYield(O23,I23,YieldDayCounter,YieldCompounding,YieldFrequency,K$2)</f>
        <v>1.400432660949452</v>
      </c>
      <c r="L23" s="109">
        <f ca="1">_xll.qlBondConvexityFromYield(O23,I23/100,YieldDayCounter,YieldCompounding,YieldFrequency)</f>
        <v>10.292329100427851</v>
      </c>
      <c r="M23" s="109" t="e">
        <f t="shared" ca="1" si="3"/>
        <v>#NAME?</v>
      </c>
      <c r="N23" s="109" t="str">
        <f>_xll.qlZeroCouponBond(,,"EUR",3,"target",100,$B23,"f",100,,,Trigger)</f>
        <v>obj_003a5#0001</v>
      </c>
      <c r="O23" s="109" t="str">
        <f>_xll.qlZeroCouponBond(,,"EUR",3,"target",100,$B23,"f",100,,,Trigger)</f>
        <v>obj_00323#0001</v>
      </c>
      <c r="P23" s="109" t="str">
        <f>_xll.qlZeroCouponBond(,,"EUR",3,"target",100,$B23,"f",100,,,Trigger)</f>
        <v>obj_00269#0001</v>
      </c>
      <c r="Q23" s="109">
        <f t="shared" ca="1" si="1"/>
        <v>97.2</v>
      </c>
      <c r="R23" s="109">
        <f t="shared" ref="R23" ca="1" si="22">Q23</f>
        <v>97.2</v>
      </c>
      <c r="S23" s="33" t="str">
        <f>IF(UPPER(S$1)="ABCD",_xll.RtContribute($D$3,$D23,$Q$3:$R$3,$Q23:$R23,"SCOPE:SERVER"),"--")</f>
        <v>--</v>
      </c>
      <c r="T23" s="33" t="str">
        <f t="shared" si="2"/>
        <v>EUR.PRICING.XLS_STRIPS.IT0004848500</v>
      </c>
      <c r="U23" s="33" t="str">
        <f>IF(UPPER($V$1)="ABCD",MKV_PUBLISHRECORD(T23, "XLS_STRIPS"),"--")</f>
        <v>--</v>
      </c>
      <c r="V23" s="33" t="str">
        <f>IF(UPPER(V$1)="ABCD",MKV_SUPPLYRECORD(T23, "Bid",E23, "Ask",G23, "Id",A23, "Mid",F23, "Name",C23,"DV01",M23,"MidYield",I23,"BidYield",H23,"AskYield",J23),"--")</f>
        <v>--</v>
      </c>
    </row>
    <row r="24" spans="1:22" x14ac:dyDescent="0.2">
      <c r="A24" s="72" t="s">
        <v>138</v>
      </c>
      <c r="B24" s="89">
        <v>42979</v>
      </c>
      <c r="C24" s="47" t="s">
        <v>139</v>
      </c>
      <c r="D24" s="47" t="s">
        <v>140</v>
      </c>
      <c r="E24" s="109">
        <f ca="1"/>
        <v>97.12</v>
      </c>
      <c r="F24" s="109">
        <f ca="1"/>
        <v>97.239381980317233</v>
      </c>
      <c r="G24" s="109">
        <f t="shared" ca="1" si="0"/>
        <v>97.358763960634462</v>
      </c>
      <c r="H24" s="109">
        <f ca="1">_xll.qlBondYieldFromCleanPrice(N24,E24,YieldDayCounter,YieldCompounding,YieldFrequency)*100</f>
        <v>1.025929652463645</v>
      </c>
      <c r="I24" s="109">
        <f ca="1">_xll.qlBondYieldFromCleanPrice(O24,F24,YieldDayCounter,YieldCompounding,YieldFrequency)*100</f>
        <v>0.98259058125689669</v>
      </c>
      <c r="J24" s="109">
        <f ca="1">_xll.qlBondYieldFromCleanPrice(P24,G24,YieldDayCounter,YieldCompounding,YieldFrequency)*100</f>
        <v>0.93932325505092751</v>
      </c>
      <c r="K24" s="109">
        <f ca="1">_xll.qlBondDurationFromYield(O24,I24,YieldDayCounter,YieldCompounding,YieldFrequency,K$2)</f>
        <v>1.4440771209631598</v>
      </c>
      <c r="L24" s="109">
        <f ca="1">_xll.qlBondConvexityFromYield(O24,I24/100,YieldDayCounter,YieldCompounding,YieldFrequency)</f>
        <v>10.845676806609202</v>
      </c>
      <c r="M24" s="109" t="e">
        <f t="shared" ca="1" si="3"/>
        <v>#NAME?</v>
      </c>
      <c r="N24" s="109" t="str">
        <f>_xll.qlZeroCouponBond(,,"EUR",3,"target",100,$B24,"f",100,,,Trigger)</f>
        <v>obj_0039a#0001</v>
      </c>
      <c r="O24" s="109" t="str">
        <f>_xll.qlZeroCouponBond(,,"EUR",3,"target",100,$B24,"f",100,,,Trigger)</f>
        <v>obj_003cf#0001</v>
      </c>
      <c r="P24" s="109" t="str">
        <f>_xll.qlZeroCouponBond(,,"EUR",3,"target",100,$B24,"f",100,,,Trigger)</f>
        <v>obj_00272#0001</v>
      </c>
      <c r="Q24" s="109">
        <f t="shared" ca="1" si="1"/>
        <v>97.12</v>
      </c>
      <c r="R24" s="109">
        <f t="shared" ref="R24" ca="1" si="23">Q24</f>
        <v>97.12</v>
      </c>
      <c r="S24" s="33" t="str">
        <f>IF(UPPER(S$1)="ABCD",_xll.RtContribute($D$3,$D24,$Q$3:$R$3,$Q24:$R24,"SCOPE:SERVER"),"--")</f>
        <v>--</v>
      </c>
      <c r="T24" s="33" t="str">
        <f t="shared" si="2"/>
        <v>EUR.PRICING.XLS_STRIPS.IT0004957814</v>
      </c>
      <c r="U24" s="33" t="str">
        <f>IF(UPPER($V$1)="ABCD",MKV_PUBLISHRECORD(T24, "XLS_STRIPS"),"--")</f>
        <v>--</v>
      </c>
      <c r="V24" s="33" t="str">
        <f>IF(UPPER(V$1)="ABCD",MKV_SUPPLYRECORD(T24, "Bid",E24, "Ask",G24, "Id",A24, "Mid",F24, "Name",C24,"DV01",M24,"MidYield",I24,"BidYield",H24,"AskYield",J24),"--")</f>
        <v>--</v>
      </c>
    </row>
    <row r="25" spans="1:22" x14ac:dyDescent="0.2">
      <c r="A25" s="72" t="s">
        <v>339</v>
      </c>
      <c r="B25" s="89">
        <v>43040</v>
      </c>
      <c r="C25" s="47" t="s">
        <v>340</v>
      </c>
      <c r="D25" s="47" t="s">
        <v>341</v>
      </c>
      <c r="E25" s="109">
        <f ca="1"/>
        <v>96.93</v>
      </c>
      <c r="F25" s="109">
        <f ca="1"/>
        <v>97.055292014260289</v>
      </c>
      <c r="G25" s="109">
        <f t="shared" ca="1" si="0"/>
        <v>97.18058402852057</v>
      </c>
      <c r="H25" s="109">
        <f ca="1">_xll.qlBondYieldFromCleanPrice(N25,E25,YieldDayCounter,YieldCompounding,YieldFrequency)*100</f>
        <v>1.0343460138179366</v>
      </c>
      <c r="I25" s="109">
        <f ca="1">_xll.qlBondYieldFromCleanPrice(O25,F25,YieldDayCounter,YieldCompounding,YieldFrequency)*100</f>
        <v>0.99128356108441995</v>
      </c>
      <c r="J25" s="109">
        <f ca="1">_xll.qlBondYieldFromCleanPrice(P25,G25,YieldDayCounter,YieldCompounding,YieldFrequency)*100</f>
        <v>0.94829496494308119</v>
      </c>
      <c r="K25" s="109">
        <f ca="1">_xll.qlBondDurationFromYield(O25,I25,YieldDayCounter,YieldCompounding,YieldFrequency,K$2)</f>
        <v>1.5217003974316987</v>
      </c>
      <c r="L25" s="109">
        <f ca="1">_xll.qlBondConvexityFromYield(O25,I25/100,YieldDayCounter,YieldCompounding,YieldFrequency)</f>
        <v>11.973311652587771</v>
      </c>
      <c r="M25" s="109" t="e">
        <f t="shared" ca="1" si="3"/>
        <v>#NAME?</v>
      </c>
      <c r="N25" s="109" t="str">
        <f>_xll.qlZeroCouponBond(,,"EUR",3,"target",100,$B25,"f",100,,,Trigger)</f>
        <v>obj_00245#0001</v>
      </c>
      <c r="O25" s="109" t="str">
        <f>_xll.qlZeroCouponBond(,,"EUR",3,"target",100,$B25,"f",100,,,Trigger)</f>
        <v>obj_00315#0001</v>
      </c>
      <c r="P25" s="109" t="str">
        <f>_xll.qlZeroCouponBond(,,"EUR",3,"target",100,$B25,"f",100,,,Trigger)</f>
        <v>obj_0039e#0001</v>
      </c>
      <c r="Q25" s="109">
        <f t="shared" ca="1" si="1"/>
        <v>96.93</v>
      </c>
      <c r="R25" s="109">
        <f t="shared" ref="R25" ca="1" si="24">Q25</f>
        <v>96.93</v>
      </c>
      <c r="S25" s="33" t="str">
        <f>IF(UPPER(S$1)="ABCD",_xll.RtContribute($D$3,$D25,$Q$3:$R$3,$Q25:$R25,"SCOPE:SERVER"),"--")</f>
        <v>--</v>
      </c>
      <c r="T25" s="33" t="str">
        <f t="shared" si="2"/>
        <v>EUR.PRICING.XLS_STRIPS.IT0004869316</v>
      </c>
      <c r="U25" s="33" t="str">
        <f>IF(UPPER($V$1)="ABCD",MKV_PUBLISHRECORD(T25, "XLS_STRIPS"),"--")</f>
        <v>--</v>
      </c>
      <c r="V25" s="33" t="str">
        <f>IF(UPPER(V$1)="ABCD",MKV_SUPPLYRECORD(T25, "Bid",E25, "Ask",G25, "Id",A25, "Mid",F25, "Name",C25,"DV01",M25,"MidYield",I25,"BidYield",H25,"AskYield",J25),"--")</f>
        <v>--</v>
      </c>
    </row>
    <row r="26" spans="1:22" x14ac:dyDescent="0.2">
      <c r="A26" s="72" t="s">
        <v>342</v>
      </c>
      <c r="B26" s="89">
        <v>43132</v>
      </c>
      <c r="C26" s="47" t="s">
        <v>343</v>
      </c>
      <c r="D26" s="47" t="s">
        <v>344</v>
      </c>
      <c r="E26" s="109">
        <f ca="1"/>
        <v>96.47</v>
      </c>
      <c r="F26" s="109">
        <f ca="1"/>
        <v>96.598349433114734</v>
      </c>
      <c r="G26" s="109">
        <f t="shared" ca="1" si="0"/>
        <v>96.726698866229469</v>
      </c>
      <c r="H26" s="109">
        <f ca="1">_xll.qlBondYieldFromCleanPrice(N26,E26,YieldDayCounter,YieldCompounding,YieldFrequency)*100</f>
        <v>1.100958749697986</v>
      </c>
      <c r="I26" s="109">
        <f ca="1">_xll.qlBondYieldFromCleanPrice(O26,F26,YieldDayCounter,YieldCompounding,YieldFrequency)*100</f>
        <v>1.0600122926868503</v>
      </c>
      <c r="J26" s="109">
        <f ca="1">_xll.qlBondYieldFromCleanPrice(P26,G26,YieldDayCounter,YieldCompounding,YieldFrequency)*100</f>
        <v>1.019136761972921</v>
      </c>
      <c r="K26" s="109">
        <f ca="1">_xll.qlBondDurationFromYield(O26,I26,YieldDayCounter,YieldCompounding,YieldFrequency,K$2)</f>
        <v>1.5932874733193914</v>
      </c>
      <c r="L26" s="109">
        <f ca="1">_xll.qlBondConvexityFromYield(O26,I26/100,YieldDayCounter,YieldCompounding,YieldFrequency)</f>
        <v>13.76167742422429</v>
      </c>
      <c r="M26" s="109" t="e">
        <f t="shared" ca="1" si="3"/>
        <v>#NAME?</v>
      </c>
      <c r="N26" s="109" t="str">
        <f>_xll.qlZeroCouponBond(,,"EUR",3,"target",100,$B26,"f",100,,,Trigger)</f>
        <v>obj_0030f#0001</v>
      </c>
      <c r="O26" s="109" t="str">
        <f>_xll.qlZeroCouponBond(,,"EUR",3,"target",100,$B26,"f",100,,,Trigger)</f>
        <v>obj_0030c#0001</v>
      </c>
      <c r="P26" s="109" t="str">
        <f>_xll.qlZeroCouponBond(,,"EUR",3,"target",100,$B26,"f",100,,,Trigger)</f>
        <v>obj_0037f#0001</v>
      </c>
      <c r="Q26" s="109">
        <f t="shared" ca="1" si="1"/>
        <v>96.47</v>
      </c>
      <c r="R26" s="109">
        <f t="shared" ref="R26" ca="1" si="25">Q26</f>
        <v>96.47</v>
      </c>
      <c r="S26" s="33" t="str">
        <f>IF(UPPER(S$1)="ABCD",_xll.RtContribute($D$3,$D26,$Q$3:$R$3,$Q26:$R26,"SCOPE:SERVER"),"--")</f>
        <v>--</v>
      </c>
      <c r="T26" s="33" t="str">
        <f t="shared" si="2"/>
        <v>EUR.PRICING.XLS_STRIPS.IT0004848682</v>
      </c>
      <c r="U26" s="33" t="str">
        <f>IF(UPPER($V$1)="ABCD",MKV_PUBLISHRECORD(T26, "XLS_STRIPS"),"--")</f>
        <v>--</v>
      </c>
      <c r="V26" s="33" t="str">
        <f>IF(UPPER(V$1)="ABCD",MKV_SUPPLYRECORD(T26, "Bid",E26, "Ask",G26, "Id",A26, "Mid",F26, "Name",C26,"DV01",M26,"MidYield",I26,"BidYield",H26,"AskYield",J26),"--")</f>
        <v>--</v>
      </c>
    </row>
    <row r="27" spans="1:22" x14ac:dyDescent="0.2">
      <c r="A27" s="72" t="s">
        <v>141</v>
      </c>
      <c r="B27" s="89">
        <v>43160</v>
      </c>
      <c r="C27" s="47" t="s">
        <v>142</v>
      </c>
      <c r="D27" s="47" t="s">
        <v>143</v>
      </c>
      <c r="E27" s="109">
        <f ca="1"/>
        <v>96.32</v>
      </c>
      <c r="F27" s="109">
        <f ca="1"/>
        <v>96.450570067257175</v>
      </c>
      <c r="G27" s="109">
        <f t="shared" ca="1" si="0"/>
        <v>96.581140134514357</v>
      </c>
      <c r="H27" s="109">
        <f ca="1">_xll.qlBondYieldFromCleanPrice(N27,E27,YieldDayCounter,YieldCompounding,YieldFrequency)*100</f>
        <v>1.1225164784379307</v>
      </c>
      <c r="I27" s="109">
        <f ca="1">_xll.qlBondYieldFromCleanPrice(O27,F27,YieldDayCounter,YieldCompounding,YieldFrequency)*100</f>
        <v>1.0817413211502136</v>
      </c>
      <c r="J27" s="109">
        <f ca="1">_xll.qlBondYieldFromCleanPrice(P27,G27,YieldDayCounter,YieldCompounding,YieldFrequency)*100</f>
        <v>1.0410377308401932</v>
      </c>
      <c r="K27" s="109">
        <f ca="1">_xll.qlBondDurationFromYield(O27,I27,YieldDayCounter,YieldCompounding,YieldFrequency,K$2)</f>
        <v>1.6135069595165472</v>
      </c>
      <c r="L27" s="109">
        <f ca="1">_xll.qlBondConvexityFromYield(O27,I27/100,YieldDayCounter,YieldCompounding,YieldFrequency)</f>
        <v>14.329449004115748</v>
      </c>
      <c r="M27" s="109" t="e">
        <f t="shared" ca="1" si="3"/>
        <v>#NAME?</v>
      </c>
      <c r="N27" s="109" t="str">
        <f>_xll.qlZeroCouponBond(,,"EUR",3,"target",100,$B27,"f",100,,,Trigger)</f>
        <v>obj_00227#0001</v>
      </c>
      <c r="O27" s="109" t="str">
        <f>_xll.qlZeroCouponBond(,,"EUR",3,"target",100,$B27,"f",100,,,Trigger)</f>
        <v>obj_002c3#0001</v>
      </c>
      <c r="P27" s="109" t="str">
        <f>_xll.qlZeroCouponBond(,,"EUR",3,"target",100,$B27,"f",100,,,Trigger)</f>
        <v>obj_003a8#0001</v>
      </c>
      <c r="Q27" s="109">
        <f t="shared" ca="1" si="1"/>
        <v>96.32</v>
      </c>
      <c r="R27" s="109">
        <f t="shared" ref="R27" ca="1" si="26">Q27</f>
        <v>96.32</v>
      </c>
      <c r="S27" s="33" t="str">
        <f>IF(UPPER(S$1)="ABCD",_xll.RtContribute($D$3,$D27,$Q$3:$R$3,$Q27:$R27,"SCOPE:SERVER"),"--")</f>
        <v>--</v>
      </c>
      <c r="T27" s="33" t="str">
        <f t="shared" si="2"/>
        <v>EUR.PRICING.XLS_STRIPS.IT0004957822</v>
      </c>
      <c r="U27" s="33" t="str">
        <f>IF(UPPER($V$1)="ABCD",MKV_PUBLISHRECORD(T27, "XLS_STRIPS"),"--")</f>
        <v>--</v>
      </c>
      <c r="V27" s="33" t="str">
        <f>IF(UPPER(V$1)="ABCD",MKV_SUPPLYRECORD(T27, "Bid",E27, "Ask",G27, "Id",A27, "Mid",F27, "Name",C27,"DV01",M27,"MidYield",I27,"BidYield",H27,"AskYield",J27),"--")</f>
        <v>--</v>
      </c>
    </row>
    <row r="28" spans="1:22" x14ac:dyDescent="0.2">
      <c r="A28" s="72" t="s">
        <v>39</v>
      </c>
      <c r="B28" s="89">
        <v>43221</v>
      </c>
      <c r="C28" s="47" t="s">
        <v>345</v>
      </c>
      <c r="D28" s="47" t="s">
        <v>346</v>
      </c>
      <c r="E28" s="109">
        <f ca="1"/>
        <v>96.01</v>
      </c>
      <c r="F28" s="109">
        <f ca="1"/>
        <v>96.14881777681552</v>
      </c>
      <c r="G28" s="109">
        <f t="shared" ca="1" si="0"/>
        <v>96.287635553631034</v>
      </c>
      <c r="H28" s="109">
        <f ca="1">_xll.qlBondYieldFromCleanPrice(N28,E28,YieldDayCounter,YieldCompounding,YieldFrequency)*100</f>
        <v>1.1605656005168798</v>
      </c>
      <c r="I28" s="109">
        <f ca="1">_xll.qlBondYieldFromCleanPrice(O28,F28,YieldDayCounter,YieldCompounding,YieldFrequency)*100</f>
        <v>1.1191547430865467</v>
      </c>
      <c r="J28" s="109">
        <f ca="1">_xll.qlBondYieldFromCleanPrice(P28,G28,YieldDayCounter,YieldCompounding,YieldFrequency)*100</f>
        <v>1.0778205542527144</v>
      </c>
      <c r="K28" s="109">
        <f ca="1">_xll.qlBondDurationFromYield(O28,I28,YieldDayCounter,YieldCompounding,YieldFrequency,K$2)</f>
        <v>1.665176710100946</v>
      </c>
      <c r="L28" s="109">
        <f ca="1">_xll.qlBondConvexityFromYield(O28,I28/100,YieldDayCounter,YieldCompounding,YieldFrequency)</f>
        <v>15.629177602823811</v>
      </c>
      <c r="M28" s="109" t="e">
        <f t="shared" ca="1" si="3"/>
        <v>#NAME?</v>
      </c>
      <c r="N28" s="109" t="str">
        <f>_xll.qlZeroCouponBond(,,"EUR",3,"target",100,$B28,"f",100,,,Trigger)</f>
        <v>obj_002f1#0001</v>
      </c>
      <c r="O28" s="109" t="str">
        <f>_xll.qlZeroCouponBond(,,"EUR",3,"target",100,$B28,"f",100,,,Trigger)</f>
        <v>obj_00244#0001</v>
      </c>
      <c r="P28" s="109" t="str">
        <f>_xll.qlZeroCouponBond(,,"EUR",3,"target",100,$B28,"f",100,,,Trigger)</f>
        <v>obj_0023f#0001</v>
      </c>
      <c r="Q28" s="109">
        <f t="shared" ca="1" si="1"/>
        <v>96.01</v>
      </c>
      <c r="R28" s="109">
        <f t="shared" ref="R28" ca="1" si="27">Q28</f>
        <v>96.01</v>
      </c>
      <c r="S28" s="33" t="str">
        <f>IF(UPPER(S$1)="ABCD",_xll.RtContribute($D$3,$D28,$Q$3:$R$3,$Q28:$R28,"SCOPE:SERVER"),"--")</f>
        <v>--</v>
      </c>
      <c r="T28" s="33" t="str">
        <f t="shared" si="2"/>
        <v>EUR.PRICING.XLS_STRIPS.IT0001247219</v>
      </c>
      <c r="U28" s="33" t="str">
        <f>IF(UPPER($V$1)="ABCD",MKV_PUBLISHRECORD(T28, "XLS_STRIPS"),"--")</f>
        <v>--</v>
      </c>
      <c r="V28" s="33" t="str">
        <f>IF(UPPER(V$1)="ABCD",MKV_SUPPLYRECORD(T28, "Bid",E28, "Ask",G28, "Id",A28, "Mid",F28, "Name",C28,"DV01",M28,"MidYield",I28,"BidYield",H28,"AskYield",J28),"--")</f>
        <v>--</v>
      </c>
    </row>
    <row r="29" spans="1:22" x14ac:dyDescent="0.2">
      <c r="A29" s="72" t="s">
        <v>347</v>
      </c>
      <c r="B29" s="89">
        <v>43313</v>
      </c>
      <c r="C29" s="47" t="s">
        <v>348</v>
      </c>
      <c r="D29" s="47" t="s">
        <v>349</v>
      </c>
      <c r="E29" s="109">
        <f ca="1"/>
        <v>95.61</v>
      </c>
      <c r="F29" s="109">
        <f ca="1"/>
        <v>95.758776951701435</v>
      </c>
      <c r="G29" s="109">
        <f t="shared" ca="1" si="0"/>
        <v>95.907553903402871</v>
      </c>
      <c r="H29" s="109">
        <f ca="1">_xll.qlBondYieldFromCleanPrice(N29,E29,YieldDayCounter,YieldCompounding,YieldFrequency)*100</f>
        <v>1.195329895358533</v>
      </c>
      <c r="I29" s="109">
        <f ca="1">_xll.qlBondYieldFromCleanPrice(O29,F29,YieldDayCounter,YieldCompounding,YieldFrequency)*100</f>
        <v>1.1536914597919596</v>
      </c>
      <c r="J29" s="109">
        <f ca="1">_xll.qlBondYieldFromCleanPrice(P29,G29,YieldDayCounter,YieldCompounding,YieldFrequency)*100</f>
        <v>1.1121347656659786</v>
      </c>
      <c r="K29" s="109">
        <f ca="1">_xll.qlBondDurationFromYield(O29,I29,YieldDayCounter,YieldCompounding,YieldFrequency,K$2)</f>
        <v>1.7542355821691258</v>
      </c>
      <c r="L29" s="109">
        <f ca="1">_xll.qlBondConvexityFromYield(O29,I29/100,YieldDayCounter,YieldCompounding,YieldFrequency)</f>
        <v>17.642557646467619</v>
      </c>
      <c r="M29" s="109" t="e">
        <f t="shared" ca="1" si="3"/>
        <v>#NAME?</v>
      </c>
      <c r="N29" s="109" t="str">
        <f>_xll.qlZeroCouponBond(,,"EUR",3,"target",100,$B29,"f",100,,,Trigger)</f>
        <v>obj_00331#0001</v>
      </c>
      <c r="O29" s="109" t="str">
        <f>_xll.qlZeroCouponBond(,,"EUR",3,"target",100,$B29,"f",100,,,Trigger)</f>
        <v>obj_0031e#0001</v>
      </c>
      <c r="P29" s="109" t="str">
        <f>_xll.qlZeroCouponBond(,,"EUR",3,"target",100,$B29,"f",100,,,Trigger)</f>
        <v>obj_002b2#0001</v>
      </c>
      <c r="Q29" s="109">
        <f t="shared" ca="1" si="1"/>
        <v>95.61</v>
      </c>
      <c r="R29" s="109">
        <f t="shared" ref="R29" ca="1" si="28">Q29</f>
        <v>95.61</v>
      </c>
      <c r="S29" s="33" t="str">
        <f>IF(UPPER(S$1)="ABCD",_xll.RtContribute($D$3,$D29,$Q$3:$R$3,$Q29:$R29,"SCOPE:SERVER"),"--")</f>
        <v>--</v>
      </c>
      <c r="T29" s="33" t="str">
        <f t="shared" si="2"/>
        <v>EUR.PRICING.XLS_STRIPS.IT0004848716</v>
      </c>
      <c r="U29" s="33" t="str">
        <f>IF(UPPER($V$1)="ABCD",MKV_PUBLISHRECORD(T29, "XLS_STRIPS"),"--")</f>
        <v>--</v>
      </c>
      <c r="V29" s="33" t="str">
        <f>IF(UPPER(V$1)="ABCD",MKV_SUPPLYRECORD(T29, "Bid",E29, "Ask",G29, "Id",A29, "Mid",F29, "Name",C29,"DV01",M29,"MidYield",I29,"BidYield",H29,"AskYield",J29),"--")</f>
        <v>--</v>
      </c>
    </row>
    <row r="30" spans="1:22" x14ac:dyDescent="0.2">
      <c r="A30" s="72" t="s">
        <v>144</v>
      </c>
      <c r="B30" s="89">
        <v>43344</v>
      </c>
      <c r="C30" s="47" t="s">
        <v>145</v>
      </c>
      <c r="D30" s="47" t="s">
        <v>146</v>
      </c>
      <c r="E30" s="109">
        <f ca="1"/>
        <v>95.49</v>
      </c>
      <c r="F30" s="109">
        <f ca="1"/>
        <v>95.647444619531214</v>
      </c>
      <c r="G30" s="109">
        <f t="shared" ca="1" si="0"/>
        <v>95.804889239062433</v>
      </c>
      <c r="H30" s="109">
        <f ca="1">_xll.qlBondYieldFromCleanPrice(N30,E30,YieldDayCounter,YieldCompounding,YieldFrequency)*100</f>
        <v>1.2000800920836632</v>
      </c>
      <c r="I30" s="109">
        <f ca="1">_xll.qlBondYieldFromCleanPrice(O30,F30,YieldDayCounter,YieldCompounding,YieldFrequency)*100</f>
        <v>1.1569918556758993</v>
      </c>
      <c r="J30" s="109">
        <f ca="1">_xll.qlBondYieldFromCleanPrice(P30,G30,YieldDayCounter,YieldCompounding,YieldFrequency)*100</f>
        <v>1.1139927860386671</v>
      </c>
      <c r="K30" s="109">
        <f ca="1">_xll.qlBondDurationFromYield(O30,I30,YieldDayCounter,YieldCompounding,YieldFrequency,K$2)</f>
        <v>1.7934667395731674</v>
      </c>
      <c r="L30" s="109">
        <f ca="1">_xll.qlBondConvexityFromYield(O30,I30/100,YieldDayCounter,YieldCompounding,YieldFrequency)</f>
        <v>18.405371314838046</v>
      </c>
      <c r="M30" s="109" t="e">
        <f t="shared" ca="1" si="3"/>
        <v>#NAME?</v>
      </c>
      <c r="N30" s="109" t="str">
        <f>_xll.qlZeroCouponBond(,,"EUR",3,"target",100,$B30,"f",100,,,Trigger)</f>
        <v>obj_00334#0001</v>
      </c>
      <c r="O30" s="109" t="str">
        <f>_xll.qlZeroCouponBond(,,"EUR",3,"target",100,$B30,"f",100,,,Trigger)</f>
        <v>obj_00271#0001</v>
      </c>
      <c r="P30" s="109" t="str">
        <f>_xll.qlZeroCouponBond(,,"EUR",3,"target",100,$B30,"f",100,,,Trigger)</f>
        <v>obj_00291#0001</v>
      </c>
      <c r="Q30" s="109">
        <f t="shared" ca="1" si="1"/>
        <v>95.49</v>
      </c>
      <c r="R30" s="109">
        <f t="shared" ref="R30" ca="1" si="29">Q30</f>
        <v>95.49</v>
      </c>
      <c r="S30" s="33" t="str">
        <f>IF(UPPER(S$1)="ABCD",_xll.RtContribute($D$3,$D30,$Q$3:$R$3,$Q30:$R30,"SCOPE:SERVER"),"--")</f>
        <v>--</v>
      </c>
      <c r="T30" s="33" t="str">
        <f t="shared" si="2"/>
        <v>EUR.PRICING.XLS_STRIPS.IT0004957830</v>
      </c>
      <c r="U30" s="33" t="str">
        <f>IF(UPPER($V$1)="ABCD",MKV_PUBLISHRECORD(T30, "XLS_STRIPS"),"--")</f>
        <v>--</v>
      </c>
      <c r="V30" s="33" t="str">
        <f>IF(UPPER(V$1)="ABCD",MKV_SUPPLYRECORD(T30, "Bid",E30, "Ask",G30, "Id",A30, "Mid",F30, "Name",C30,"DV01",M30,"MidYield",I30,"BidYield",H30,"AskYield",J30),"--")</f>
        <v>--</v>
      </c>
    </row>
    <row r="31" spans="1:22" x14ac:dyDescent="0.2">
      <c r="A31" s="72" t="s">
        <v>40</v>
      </c>
      <c r="B31" s="89">
        <v>43405</v>
      </c>
      <c r="C31" s="47" t="s">
        <v>350</v>
      </c>
      <c r="D31" s="47" t="s">
        <v>351</v>
      </c>
      <c r="E31" s="109">
        <f ca="1"/>
        <v>95.28</v>
      </c>
      <c r="F31" s="109">
        <f ca="1"/>
        <v>95.437602502569305</v>
      </c>
      <c r="G31" s="109">
        <f t="shared" ca="1" si="0"/>
        <v>95.59520500513861</v>
      </c>
      <c r="H31" s="109">
        <f ca="1">_xll.qlBondYieldFromCleanPrice(N31,E31,YieldDayCounter,YieldCompounding,YieldFrequency)*100</f>
        <v>1.2069430328276312</v>
      </c>
      <c r="I31" s="109">
        <f ca="1">_xll.qlBondYieldFromCleanPrice(O31,F31,YieldDayCounter,YieldCompounding,YieldFrequency)*100</f>
        <v>1.1654472595341512</v>
      </c>
      <c r="J31" s="109">
        <f ca="1">_xll.qlBondYieldFromCleanPrice(P31,G31,YieldDayCounter,YieldCompounding,YieldFrequency)*100</f>
        <v>1.1240369224585596</v>
      </c>
      <c r="K31" s="109">
        <f ca="1">_xll.qlBondDurationFromYield(O31,I31,YieldDayCounter,YieldCompounding,YieldFrequency,K$2)</f>
        <v>1.8611106636549379</v>
      </c>
      <c r="L31" s="109">
        <f ca="1">_xll.qlBondConvexityFromYield(O31,I31/100,YieldDayCounter,YieldCompounding,YieldFrequency)</f>
        <v>19.807752866412144</v>
      </c>
      <c r="M31" s="109" t="e">
        <f t="shared" ca="1" si="3"/>
        <v>#NAME?</v>
      </c>
      <c r="N31" s="109" t="str">
        <f>_xll.qlZeroCouponBond(,,"EUR",3,"target",100,$B31,"f",100,,,Trigger)</f>
        <v>obj_00336#0001</v>
      </c>
      <c r="O31" s="109" t="str">
        <f>_xll.qlZeroCouponBond(,,"EUR",3,"target",100,$B31,"f",100,,,Trigger)</f>
        <v>obj_00321#0001</v>
      </c>
      <c r="P31" s="109" t="str">
        <f>_xll.qlZeroCouponBond(,,"EUR",3,"target",100,$B31,"f",100,,,Trigger)</f>
        <v>obj_00289#0001</v>
      </c>
      <c r="Q31" s="109">
        <f t="shared" ca="1" si="1"/>
        <v>95.28</v>
      </c>
      <c r="R31" s="109">
        <f t="shared" ref="R31" ca="1" si="30">Q31</f>
        <v>95.28</v>
      </c>
      <c r="S31" s="33" t="str">
        <f>IF(UPPER(S$1)="ABCD",_xll.RtContribute($D$3,$D31,$Q$3:$R$3,$Q31:$R31,"SCOPE:SERVER"),"--")</f>
        <v>--</v>
      </c>
      <c r="T31" s="33" t="str">
        <f t="shared" si="2"/>
        <v>EUR.PRICING.XLS_STRIPS.IT0001247227</v>
      </c>
      <c r="U31" s="33" t="str">
        <f>IF(UPPER($V$1)="ABCD",MKV_PUBLISHRECORD(T31, "XLS_STRIPS"),"--")</f>
        <v>--</v>
      </c>
      <c r="V31" s="33" t="str">
        <f>IF(UPPER(V$1)="ABCD",MKV_SUPPLYRECORD(T31, "Bid",E31, "Ask",G31, "Id",A31, "Mid",F31, "Name",C31,"DV01",M31,"MidYield",I31,"BidYield",H31,"AskYield",J31),"--")</f>
        <v>--</v>
      </c>
    </row>
    <row r="32" spans="1:22" x14ac:dyDescent="0.2">
      <c r="A32" s="72" t="s">
        <v>352</v>
      </c>
      <c r="B32" s="89">
        <v>43497</v>
      </c>
      <c r="C32" s="47" t="s">
        <v>353</v>
      </c>
      <c r="D32" s="47" t="s">
        <v>354</v>
      </c>
      <c r="E32" s="109">
        <f ca="1"/>
        <v>94.87</v>
      </c>
      <c r="F32" s="109">
        <f ca="1"/>
        <v>95.036268634784406</v>
      </c>
      <c r="G32" s="109">
        <f t="shared" ca="1" si="0"/>
        <v>95.202537269568808</v>
      </c>
      <c r="H32" s="109">
        <f ca="1">_xll.qlBondYieldFromCleanPrice(N32,E32,YieldDayCounter,YieldCompounding,YieldFrequency)*100</f>
        <v>1.2373992290087048</v>
      </c>
      <c r="I32" s="109">
        <f ca="1">_xll.qlBondYieldFromCleanPrice(O32,F32,YieldDayCounter,YieldCompounding,YieldFrequency)*100</f>
        <v>1.1960100229787261</v>
      </c>
      <c r="J32" s="109">
        <f ca="1">_xll.qlBondYieldFromCleanPrice(P32,G32,YieldDayCounter,YieldCompounding,YieldFrequency)*100</f>
        <v>1.154710021494902</v>
      </c>
      <c r="K32" s="109">
        <f ca="1">_xll.qlBondDurationFromYield(O32,I32,YieldDayCounter,YieldCompounding,YieldFrequency,K$2)</f>
        <v>1.9499873570765587</v>
      </c>
      <c r="L32" s="109">
        <f ca="1">_xll.qlBondConvexityFromYield(O32,I32/100,YieldDayCounter,YieldCompounding,YieldFrequency)</f>
        <v>22.08785282646544</v>
      </c>
      <c r="M32" s="109" t="e">
        <f t="shared" ca="1" si="3"/>
        <v>#NAME?</v>
      </c>
      <c r="N32" s="109" t="str">
        <f>_xll.qlZeroCouponBond(,,"EUR",3,"target",100,$B32,"f",100,,,Trigger)</f>
        <v>obj_00278#0001</v>
      </c>
      <c r="O32" s="109" t="str">
        <f>_xll.qlZeroCouponBond(,,"EUR",3,"target",100,$B32,"f",100,,,Trigger)</f>
        <v>obj_0027a#0001</v>
      </c>
      <c r="P32" s="109" t="str">
        <f>_xll.qlZeroCouponBond(,,"EUR",3,"target",100,$B32,"f",100,,,Trigger)</f>
        <v>obj_003d6#0001</v>
      </c>
      <c r="Q32" s="109">
        <f t="shared" ca="1" si="1"/>
        <v>94.87</v>
      </c>
      <c r="R32" s="109">
        <f t="shared" ref="R32" ca="1" si="31">Q32</f>
        <v>94.87</v>
      </c>
      <c r="S32" s="33" t="str">
        <f>IF(UPPER(S$1)="ABCD",_xll.RtContribute($D$3,$D32,$Q$3:$R$3,$Q32:$R32,"SCOPE:SERVER"),"--")</f>
        <v>--</v>
      </c>
      <c r="T32" s="33" t="str">
        <f t="shared" si="2"/>
        <v>EUR.PRICING.XLS_STRIPS.IT0004848583</v>
      </c>
      <c r="U32" s="33" t="str">
        <f>IF(UPPER($V$1)="ABCD",MKV_PUBLISHRECORD(T32, "XLS_STRIPS"),"--")</f>
        <v>--</v>
      </c>
      <c r="V32" s="33" t="str">
        <f>IF(UPPER(V$1)="ABCD",MKV_SUPPLYRECORD(T32, "Bid",E32, "Ask",G32, "Id",A32, "Mid",F32, "Name",C32,"DV01",M32,"MidYield",I32,"BidYield",H32,"AskYield",J32),"--")</f>
        <v>--</v>
      </c>
    </row>
    <row r="33" spans="1:22" x14ac:dyDescent="0.2">
      <c r="A33" s="72" t="s">
        <v>147</v>
      </c>
      <c r="B33" s="89">
        <v>43525</v>
      </c>
      <c r="C33" s="47" t="s">
        <v>148</v>
      </c>
      <c r="D33" s="47" t="s">
        <v>149</v>
      </c>
      <c r="E33" s="109">
        <f ca="1"/>
        <v>94.69</v>
      </c>
      <c r="F33" s="109">
        <f ca="1"/>
        <v>94.857121020420038</v>
      </c>
      <c r="G33" s="109">
        <f t="shared" ca="1" si="0"/>
        <v>95.024242040840079</v>
      </c>
      <c r="H33" s="109">
        <f ca="1">_xll.qlBondYieldFromCleanPrice(N33,E33,YieldDayCounter,YieldCompounding,YieldFrequency)*100</f>
        <v>1.2595987331308425</v>
      </c>
      <c r="I33" s="109">
        <f ca="1">_xll.qlBondYieldFromCleanPrice(O33,F33,YieldDayCounter,YieldCompounding,YieldFrequency)*100</f>
        <v>1.2186429659810334</v>
      </c>
      <c r="J33" s="109">
        <f ca="1">_xll.qlBondYieldFromCleanPrice(P33,G33,YieldDayCounter,YieldCompounding,YieldFrequency)*100</f>
        <v>1.1777758165212475</v>
      </c>
      <c r="K33" s="109">
        <f ca="1">_xll.qlBondDurationFromYield(O33,I33,YieldDayCounter,YieldCompounding,YieldFrequency,K$2)</f>
        <v>1.9646712771839039</v>
      </c>
      <c r="L33" s="109">
        <f ca="1">_xll.qlBondConvexityFromYield(O33,I33/100,YieldDayCounter,YieldCompounding,YieldFrequency)</f>
        <v>22.799865251172491</v>
      </c>
      <c r="M33" s="109" t="e">
        <f t="shared" ca="1" si="3"/>
        <v>#NAME?</v>
      </c>
      <c r="N33" s="109" t="str">
        <f>_xll.qlZeroCouponBond(,,"EUR",3,"target",100,$B33,"f",100,,,Trigger)</f>
        <v>obj_002ea#0001</v>
      </c>
      <c r="O33" s="109" t="str">
        <f>_xll.qlZeroCouponBond(,,"EUR",3,"target",100,$B33,"f",100,,,Trigger)</f>
        <v>obj_00338#0001</v>
      </c>
      <c r="P33" s="109" t="str">
        <f>_xll.qlZeroCouponBond(,,"EUR",3,"target",100,$B33,"f",100,,,Trigger)</f>
        <v>obj_00225#0001</v>
      </c>
      <c r="Q33" s="109">
        <f t="shared" ca="1" si="1"/>
        <v>94.69</v>
      </c>
      <c r="R33" s="109">
        <f t="shared" ref="R33" ca="1" si="32">Q33</f>
        <v>94.69</v>
      </c>
      <c r="S33" s="33" t="str">
        <f>IF(UPPER(S$1)="ABCD",_xll.RtContribute($D$3,$D33,$Q$3:$R$3,$Q33:$R33,"SCOPE:SERVER"),"--")</f>
        <v>--</v>
      </c>
      <c r="T33" s="33" t="str">
        <f t="shared" si="2"/>
        <v>EUR.PRICING.XLS_STRIPS.IT0004957848</v>
      </c>
      <c r="U33" s="33" t="str">
        <f>IF(UPPER($V$1)="ABCD",MKV_PUBLISHRECORD(T33, "XLS_STRIPS"),"--")</f>
        <v>--</v>
      </c>
      <c r="V33" s="33" t="str">
        <f>IF(UPPER(V$1)="ABCD",MKV_SUPPLYRECORD(T33, "Bid",E33, "Ask",G33, "Id",A33, "Mid",F33, "Name",C33,"DV01",M33,"MidYield",I33,"BidYield",H33,"AskYield",J33),"--")</f>
        <v>--</v>
      </c>
    </row>
    <row r="34" spans="1:22" x14ac:dyDescent="0.2">
      <c r="A34" s="72" t="s">
        <v>41</v>
      </c>
      <c r="B34" s="89">
        <v>43586</v>
      </c>
      <c r="C34" s="47" t="s">
        <v>355</v>
      </c>
      <c r="D34" s="47" t="s">
        <v>356</v>
      </c>
      <c r="E34" s="109">
        <f ca="1"/>
        <v>94.34</v>
      </c>
      <c r="F34" s="109">
        <f ca="1"/>
        <v>94.5118583749979</v>
      </c>
      <c r="G34" s="109">
        <f t="shared" ca="1" si="0"/>
        <v>94.683716749995796</v>
      </c>
      <c r="H34" s="109">
        <f ca="1">_xll.qlBondYieldFromCleanPrice(N34,E34,YieldDayCounter,YieldCompounding,YieldFrequency)*100</f>
        <v>1.2948628824017947</v>
      </c>
      <c r="I34" s="109">
        <f ca="1">_xll.qlBondYieldFromCleanPrice(O34,F34,YieldDayCounter,YieldCompounding,YieldFrequency)*100</f>
        <v>1.2541623837836091</v>
      </c>
      <c r="J34" s="109">
        <f ca="1">_xll.qlBondYieldFromCleanPrice(P34,G34,YieldDayCounter,YieldCompounding,YieldFrequency)*100</f>
        <v>1.2135521434210244</v>
      </c>
      <c r="K34" s="109">
        <f ca="1">_xll.qlBondDurationFromYield(O34,I34,YieldDayCounter,YieldCompounding,YieldFrequency,K$2)</f>
        <v>2.0090687147773894</v>
      </c>
      <c r="L34" s="109">
        <f ca="1">_xll.qlBondConvexityFromYield(O34,I34/100,YieldDayCounter,YieldCompounding,YieldFrequency)</f>
        <v>24.422072482772986</v>
      </c>
      <c r="M34" s="109" t="e">
        <f t="shared" ca="1" si="3"/>
        <v>#NAME?</v>
      </c>
      <c r="N34" s="109" t="str">
        <f>_xll.qlZeroCouponBond(,,"EUR",3,"target",100,$B34,"f",100,,,Trigger)</f>
        <v>obj_002ae#0001</v>
      </c>
      <c r="O34" s="109" t="str">
        <f>_xll.qlZeroCouponBond(,,"EUR",3,"target",100,$B34,"f",100,,,Trigger)</f>
        <v>obj_00373#0001</v>
      </c>
      <c r="P34" s="109" t="str">
        <f>_xll.qlZeroCouponBond(,,"EUR",3,"target",100,$B34,"f",100,,,Trigger)</f>
        <v>obj_0033e#0001</v>
      </c>
      <c r="Q34" s="109">
        <f t="shared" ca="1" si="1"/>
        <v>94.34</v>
      </c>
      <c r="R34" s="109">
        <f t="shared" ref="R34" ca="1" si="33">Q34</f>
        <v>94.34</v>
      </c>
      <c r="S34" s="33" t="str">
        <f>IF(UPPER(S$1)="ABCD",_xll.RtContribute($D$3,$D34,$Q$3:$R$3,$Q34:$R34,"SCOPE:SERVER"),"--")</f>
        <v>--</v>
      </c>
      <c r="T34" s="33" t="str">
        <f t="shared" si="2"/>
        <v>EUR.PRICING.XLS_STRIPS.IT0001247235</v>
      </c>
      <c r="U34" s="33" t="str">
        <f>IF(UPPER($V$1)="ABCD",MKV_PUBLISHRECORD(T34, "XLS_STRIPS"),"--")</f>
        <v>--</v>
      </c>
      <c r="V34" s="33" t="str">
        <f>IF(UPPER(V$1)="ABCD",MKV_SUPPLYRECORD(T34, "Bid",E34, "Ask",G34, "Id",A34, "Mid",F34, "Name",C34,"DV01",M34,"MidYield",I34,"BidYield",H34,"AskYield",J34),"--")</f>
        <v>--</v>
      </c>
    </row>
    <row r="35" spans="1:22" x14ac:dyDescent="0.2">
      <c r="A35" s="72" t="s">
        <v>42</v>
      </c>
      <c r="B35" s="89">
        <v>43678</v>
      </c>
      <c r="C35" s="47" t="s">
        <v>357</v>
      </c>
      <c r="D35" s="47" t="s">
        <v>358</v>
      </c>
      <c r="E35" s="109">
        <f ca="1"/>
        <v>93.84</v>
      </c>
      <c r="F35" s="109">
        <f ca="1"/>
        <v>94.021280064448732</v>
      </c>
      <c r="G35" s="109">
        <f t="shared" ca="1" si="0"/>
        <v>94.20256012889746</v>
      </c>
      <c r="H35" s="109">
        <f ca="1">_xll.qlBondYieldFromCleanPrice(N35,E35,YieldDayCounter,YieldCompounding,YieldFrequency)*100</f>
        <v>1.339530471976847</v>
      </c>
      <c r="I35" s="109">
        <f ca="1">_xll.qlBondYieldFromCleanPrice(O35,F35,YieldDayCounter,YieldCompounding,YieldFrequency)*100</f>
        <v>1.2986062592528764</v>
      </c>
      <c r="J35" s="109">
        <f ca="1">_xll.qlBondYieldFromCleanPrice(P35,G35,YieldDayCounter,YieldCompounding,YieldFrequency)*100</f>
        <v>1.2577773300446571</v>
      </c>
      <c r="K35" s="109">
        <f ca="1">_xll.qlBondDurationFromYield(O35,I35,YieldDayCounter,YieldCompounding,YieldFrequency,K$2)</f>
        <v>2.0786866704756375</v>
      </c>
      <c r="L35" s="109">
        <f ca="1">_xll.qlBondConvexityFromYield(O35,I35/100,YieldDayCounter,YieldCompounding,YieldFrequency)</f>
        <v>26.904838613270446</v>
      </c>
      <c r="M35" s="109" t="e">
        <f t="shared" ca="1" si="3"/>
        <v>#NAME?</v>
      </c>
      <c r="N35" s="109" t="str">
        <f>_xll.qlZeroCouponBond(,,"EUR",3,"target",100,$B35,"f",100,,,Trigger)</f>
        <v>obj_00351#0001</v>
      </c>
      <c r="O35" s="109" t="str">
        <f>_xll.qlZeroCouponBond(,,"EUR",3,"target",100,$B35,"f",100,,,Trigger)</f>
        <v>obj_00316#0001</v>
      </c>
      <c r="P35" s="109" t="str">
        <f>_xll.qlZeroCouponBond(,,"EUR",3,"target",100,$B35,"f",100,,,Trigger)</f>
        <v>obj_002ab#0001</v>
      </c>
      <c r="Q35" s="109">
        <f t="shared" ca="1" si="1"/>
        <v>93.84</v>
      </c>
      <c r="R35" s="109">
        <f t="shared" ref="R35" ca="1" si="34">Q35</f>
        <v>93.84</v>
      </c>
      <c r="S35" s="33" t="str">
        <f>IF(UPPER(S$1)="ABCD",_xll.RtContribute($D$3,$D35,$Q$3:$R$3,$Q35:$R35,"SCOPE:SERVER"),"--")</f>
        <v>--</v>
      </c>
      <c r="T35" s="33" t="str">
        <f t="shared" si="2"/>
        <v>EUR.PRICING.XLS_STRIPS.IT0003268585</v>
      </c>
      <c r="U35" s="33" t="str">
        <f>IF(UPPER($V$1)="ABCD",MKV_PUBLISHRECORD(T35, "XLS_STRIPS"),"--")</f>
        <v>--</v>
      </c>
      <c r="V35" s="33" t="str">
        <f>IF(UPPER(V$1)="ABCD",MKV_SUPPLYRECORD(T35, "Bid",E35, "Ask",G35, "Id",A35, "Mid",F35, "Name",C35,"DV01",M35,"MidYield",I35,"BidYield",H35,"AskYield",J35),"--")</f>
        <v>--</v>
      </c>
    </row>
    <row r="36" spans="1:22" x14ac:dyDescent="0.2">
      <c r="A36" s="72" t="s">
        <v>150</v>
      </c>
      <c r="B36" s="89">
        <v>43709</v>
      </c>
      <c r="C36" s="47" t="s">
        <v>151</v>
      </c>
      <c r="D36" s="47" t="s">
        <v>152</v>
      </c>
      <c r="E36" s="109">
        <f ca="1"/>
        <v>93.63</v>
      </c>
      <c r="F36" s="109">
        <f ca="1"/>
        <v>93.820746035622733</v>
      </c>
      <c r="G36" s="109">
        <f t="shared" ref="G36:G67" ca="1" si="35">2*F36-E36</f>
        <v>94.01149207124547</v>
      </c>
      <c r="H36" s="109">
        <f ca="1">_xll.qlBondYieldFromCleanPrice(N36,E36,YieldDayCounter,YieldCompounding,YieldFrequency)*100</f>
        <v>1.3618965179175415</v>
      </c>
      <c r="I36" s="109">
        <f ca="1">_xll.qlBondYieldFromCleanPrice(O36,F36,YieldDayCounter,YieldCompounding,YieldFrequency)*100</f>
        <v>1.3195095550381166</v>
      </c>
      <c r="J36" s="109">
        <f ca="1">_xll.qlBondYieldFromCleanPrice(P36,G36,YieldDayCounter,YieldCompounding,YieldFrequency)*100</f>
        <v>1.2772263472341006</v>
      </c>
      <c r="K36" s="109">
        <f ca="1">_xll.qlBondDurationFromYield(O36,I36,YieldDayCounter,YieldCompounding,YieldFrequency,K$2)</f>
        <v>2.0977509724367458</v>
      </c>
      <c r="L36" s="109">
        <f ca="1">_xll.qlBondConvexityFromYield(O36,I36/100,YieldDayCounter,YieldCompounding,YieldFrequency)</f>
        <v>27.802749197905381</v>
      </c>
      <c r="M36" s="109" t="e">
        <f t="shared" ca="1" si="3"/>
        <v>#NAME?</v>
      </c>
      <c r="N36" s="109" t="str">
        <f>_xll.qlZeroCouponBond(,,"EUR",3,"target",100,$B36,"f",100,,,Trigger)</f>
        <v>obj_0039c#0001</v>
      </c>
      <c r="O36" s="109" t="str">
        <f>_xll.qlZeroCouponBond(,,"EUR",3,"target",100,$B36,"f",100,,,Trigger)</f>
        <v>obj_003b5#0001</v>
      </c>
      <c r="P36" s="109" t="str">
        <f>_xll.qlZeroCouponBond(,,"EUR",3,"target",100,$B36,"f",100,,,Trigger)</f>
        <v>obj_00282#0001</v>
      </c>
      <c r="Q36" s="109">
        <f t="shared" ref="Q36:Q67" ca="1" si="36">E36</f>
        <v>93.63</v>
      </c>
      <c r="R36" s="109">
        <f t="shared" ref="R36" ca="1" si="37">Q36</f>
        <v>93.63</v>
      </c>
      <c r="S36" s="33" t="str">
        <f>IF(UPPER(S$1)="ABCD",_xll.RtContribute($D$3,$D36,$Q$3:$R$3,$Q36:$R36,"SCOPE:SERVER"),"--")</f>
        <v>--</v>
      </c>
      <c r="T36" s="33" t="str">
        <f t="shared" ref="T36:T67" si="38">T$3&amp;A36</f>
        <v>EUR.PRICING.XLS_STRIPS.IT0004957855</v>
      </c>
      <c r="U36" s="33" t="str">
        <f>IF(UPPER($V$1)="ABCD",MKV_PUBLISHRECORD(T36, "XLS_STRIPS"),"--")</f>
        <v>--</v>
      </c>
      <c r="V36" s="33" t="str">
        <f>IF(UPPER(V$1)="ABCD",MKV_SUPPLYRECORD(T36, "Bid",E36, "Ask",G36, "Id",A36, "Mid",F36, "Name",C36,"DV01",M36,"MidYield",I36,"BidYield",H36,"AskYield",J36),"--")</f>
        <v>--</v>
      </c>
    </row>
    <row r="37" spans="1:22" x14ac:dyDescent="0.2">
      <c r="A37" s="72" t="s">
        <v>43</v>
      </c>
      <c r="B37" s="89">
        <v>43770</v>
      </c>
      <c r="C37" s="47" t="s">
        <v>359</v>
      </c>
      <c r="D37" s="47" t="s">
        <v>360</v>
      </c>
      <c r="E37" s="109">
        <f ca="1"/>
        <v>93.15</v>
      </c>
      <c r="F37" s="109">
        <f ca="1"/>
        <v>93.34590288602891</v>
      </c>
      <c r="G37" s="109">
        <f t="shared" ca="1" si="35"/>
        <v>93.541805772057813</v>
      </c>
      <c r="H37" s="109">
        <f ca="1">_xll.qlBondYieldFromCleanPrice(N37,E37,YieldDayCounter,YieldCompounding,YieldFrequency)*100</f>
        <v>1.4206760812364525</v>
      </c>
      <c r="I37" s="109">
        <f ca="1">_xll.qlBondYieldFromCleanPrice(O37,F37,YieldDayCounter,YieldCompounding,YieldFrequency)*100</f>
        <v>1.3783256701448472</v>
      </c>
      <c r="J37" s="109">
        <f ca="1">_xll.qlBondYieldFromCleanPrice(P37,G37,YieldDayCounter,YieldCompounding,YieldFrequency)*100</f>
        <v>1.3360816703103491</v>
      </c>
      <c r="K37" s="109">
        <f ca="1">_xll.qlBondDurationFromYield(O37,I37,YieldDayCounter,YieldCompounding,YieldFrequency,K$2)</f>
        <v>2.1149908313418737</v>
      </c>
      <c r="L37" s="109">
        <f ca="1">_xll.qlBondConvexityFromYield(O37,I37/100,YieldDayCounter,YieldCompounding,YieldFrequency)</f>
        <v>29.513231330678245</v>
      </c>
      <c r="M37" s="109" t="e">
        <f t="shared" ca="1" si="3"/>
        <v>#NAME?</v>
      </c>
      <c r="N37" s="109" t="str">
        <f>_xll.qlZeroCouponBond(,,"EUR",3,"target",100,$B37,"f",100,,,Trigger)</f>
        <v>obj_003b4#0001</v>
      </c>
      <c r="O37" s="109" t="str">
        <f>_xll.qlZeroCouponBond(,,"EUR",3,"target",100,$B37,"f",100,,,Trigger)</f>
        <v>obj_002b3#0001</v>
      </c>
      <c r="P37" s="109" t="str">
        <f>_xll.qlZeroCouponBond(,,"EUR",3,"target",100,$B37,"f",100,,,Trigger)</f>
        <v>obj_003ca#0001</v>
      </c>
      <c r="Q37" s="109">
        <f t="shared" ca="1" si="36"/>
        <v>93.15</v>
      </c>
      <c r="R37" s="109">
        <f t="shared" ref="R37" ca="1" si="39">Q37</f>
        <v>93.15</v>
      </c>
      <c r="S37" s="33" t="str">
        <f>IF(UPPER(S$1)="ABCD",_xll.RtContribute($D$3,$D37,$Q$3:$R$3,$Q37:$R37,"SCOPE:SERVER"),"--")</f>
        <v>--</v>
      </c>
      <c r="T37" s="33" t="str">
        <f t="shared" si="38"/>
        <v>EUR.PRICING.XLS_STRIPS.IT0001247243</v>
      </c>
      <c r="U37" s="33" t="str">
        <f>IF(UPPER($V$1)="ABCD",MKV_PUBLISHRECORD(T37, "XLS_STRIPS"),"--")</f>
        <v>--</v>
      </c>
      <c r="V37" s="33" t="str">
        <f>IF(UPPER(V$1)="ABCD",MKV_SUPPLYRECORD(T37, "Bid",E37, "Ask",G37, "Id",A37, "Mid",F37, "Name",C37,"DV01",M37,"MidYield",I37,"BidYield",H37,"AskYield",J37),"--")</f>
        <v>--</v>
      </c>
    </row>
    <row r="38" spans="1:22" x14ac:dyDescent="0.2">
      <c r="A38" s="72" t="s">
        <v>361</v>
      </c>
      <c r="B38" s="89">
        <v>43862</v>
      </c>
      <c r="C38" s="47" t="s">
        <v>362</v>
      </c>
      <c r="D38" s="47" t="s">
        <v>363</v>
      </c>
      <c r="E38" s="109">
        <f ca="1"/>
        <v>92.46</v>
      </c>
      <c r="F38" s="109">
        <f ca="1"/>
        <v>92.657240052861411</v>
      </c>
      <c r="G38" s="109">
        <f t="shared" ca="1" si="35"/>
        <v>92.854480105722828</v>
      </c>
      <c r="H38" s="109">
        <f ca="1">_xll.qlBondYieldFromCleanPrice(N38,E38,YieldDayCounter,YieldCompounding,YieldFrequency)*100</f>
        <v>1.4936268661804504</v>
      </c>
      <c r="I38" s="109">
        <f ca="1">_xll.qlBondYieldFromCleanPrice(O38,F38,YieldDayCounter,YieldCompounding,YieldFrequency)*100</f>
        <v>1.4527323303185407</v>
      </c>
      <c r="J38" s="109">
        <f ca="1">_xll.qlBondYieldFromCleanPrice(P38,G38,YieldDayCounter,YieldCompounding,YieldFrequency)*100</f>
        <v>1.4119411969594664</v>
      </c>
      <c r="K38" s="109">
        <f ca="1">_xll.qlBondDurationFromYield(O38,I38,YieldDayCounter,YieldCompounding,YieldFrequency,K$2)</f>
        <v>2.1558288964169172</v>
      </c>
      <c r="L38" s="109">
        <f ca="1">_xll.qlBondConvexityFromYield(O38,I38/100,YieldDayCounter,YieldCompounding,YieldFrequency)</f>
        <v>32.301803734108027</v>
      </c>
      <c r="M38" s="109" t="e">
        <f t="shared" ca="1" si="3"/>
        <v>#NAME?</v>
      </c>
      <c r="N38" s="109" t="str">
        <f>_xll.qlZeroCouponBond(,,"EUR",3,"target",100,$B38,"f",100,,,Trigger)</f>
        <v>obj_0024a#0001</v>
      </c>
      <c r="O38" s="109" t="str">
        <f>_xll.qlZeroCouponBond(,,"EUR",3,"target",100,$B38,"f",100,,,Trigger)</f>
        <v>obj_0023d#0001</v>
      </c>
      <c r="P38" s="109" t="str">
        <f>_xll.qlZeroCouponBond(,,"EUR",3,"target",100,$B38,"f",100,,,Trigger)</f>
        <v>obj_002af#0001</v>
      </c>
      <c r="Q38" s="109">
        <f t="shared" ca="1" si="36"/>
        <v>92.46</v>
      </c>
      <c r="R38" s="109">
        <f t="shared" ref="R38" ca="1" si="40">Q38</f>
        <v>92.46</v>
      </c>
      <c r="S38" s="33" t="str">
        <f>IF(UPPER(S$1)="ABCD",_xll.RtContribute($D$3,$D38,$Q$3:$R$3,$Q38:$R38,"SCOPE:SERVER"),"--")</f>
        <v>--</v>
      </c>
      <c r="T38" s="33" t="str">
        <f t="shared" si="38"/>
        <v>EUR.PRICING.XLS_STRIPS.IT0004848617</v>
      </c>
      <c r="U38" s="33" t="str">
        <f>IF(UPPER($V$1)="ABCD",MKV_PUBLISHRECORD(T38, "XLS_STRIPS"),"--")</f>
        <v>--</v>
      </c>
      <c r="V38" s="33" t="str">
        <f>IF(UPPER(V$1)="ABCD",MKV_SUPPLYRECORD(T38, "Bid",E38, "Ask",G38, "Id",A38, "Mid",F38, "Name",C38,"DV01",M38,"MidYield",I38,"BidYield",H38,"AskYield",J38),"--")</f>
        <v>--</v>
      </c>
    </row>
    <row r="39" spans="1:22" x14ac:dyDescent="0.2">
      <c r="A39" s="72" t="s">
        <v>153</v>
      </c>
      <c r="B39" s="89">
        <v>43891</v>
      </c>
      <c r="C39" s="47" t="s">
        <v>154</v>
      </c>
      <c r="D39" s="47" t="s">
        <v>155</v>
      </c>
      <c r="E39" s="109">
        <f ca="1"/>
        <v>92.29</v>
      </c>
      <c r="F39" s="109">
        <f ca="1"/>
        <v>92.49422096635233</v>
      </c>
      <c r="G39" s="109">
        <f t="shared" ca="1" si="35"/>
        <v>92.698441932704654</v>
      </c>
      <c r="H39" s="109">
        <f ca="1">_xll.qlBondYieldFromCleanPrice(N39,E39,YieldDayCounter,YieldCompounding,YieldFrequency)*100</f>
        <v>1.5077042727261052</v>
      </c>
      <c r="I39" s="109">
        <f ca="1">_xll.qlBondYieldFromCleanPrice(O39,F39,YieldDayCounter,YieldCompounding,YieldFrequency)*100</f>
        <v>1.4658656594790522</v>
      </c>
      <c r="J39" s="109">
        <f ca="1">_xll.qlBondYieldFromCleanPrice(P39,G39,YieldDayCounter,YieldCompounding,YieldFrequency)*100</f>
        <v>1.4241365212090316</v>
      </c>
      <c r="K39" s="109">
        <f ca="1">_xll.qlBondDurationFromYield(O39,I39,YieldDayCounter,YieldCompounding,YieldFrequency,K$2)</f>
        <v>2.1743454737713321</v>
      </c>
      <c r="L39" s="109">
        <f ca="1">_xll.qlBondConvexityFromYield(O39,I39/100,YieldDayCounter,YieldCompounding,YieldFrequency)</f>
        <v>33.130453624191695</v>
      </c>
      <c r="M39" s="109" t="e">
        <f t="shared" ca="1" si="3"/>
        <v>#NAME?</v>
      </c>
      <c r="N39" s="109" t="str">
        <f>_xll.qlZeroCouponBond(,,"EUR",3,"target",100,$B39,"f",100,,,Trigger)</f>
        <v>obj_002eb#0001</v>
      </c>
      <c r="O39" s="109" t="str">
        <f>_xll.qlZeroCouponBond(,,"EUR",3,"target",100,$B39,"f",100,,,Trigger)</f>
        <v>obj_003c7#0001</v>
      </c>
      <c r="P39" s="109" t="str">
        <f>_xll.qlZeroCouponBond(,,"EUR",3,"target",100,$B39,"f",100,,,Trigger)</f>
        <v>obj_0038a#0001</v>
      </c>
      <c r="Q39" s="109">
        <f t="shared" ca="1" si="36"/>
        <v>92.29</v>
      </c>
      <c r="R39" s="109">
        <f t="shared" ref="R39" ca="1" si="41">Q39</f>
        <v>92.29</v>
      </c>
      <c r="S39" s="33" t="str">
        <f>IF(UPPER(S$1)="ABCD",_xll.RtContribute($D$3,$D39,$Q$3:$R$3,$Q39:$R39,"SCOPE:SERVER"),"--")</f>
        <v>--</v>
      </c>
      <c r="T39" s="33" t="str">
        <f t="shared" si="38"/>
        <v>EUR.PRICING.XLS_STRIPS.IT0004957863</v>
      </c>
      <c r="U39" s="33" t="str">
        <f>IF(UPPER($V$1)="ABCD",MKV_PUBLISHRECORD(T39, "XLS_STRIPS"),"--")</f>
        <v>--</v>
      </c>
      <c r="V39" s="33" t="str">
        <f>IF(UPPER(V$1)="ABCD",MKV_SUPPLYRECORD(T39, "Bid",E39, "Ask",G39, "Id",A39, "Mid",F39, "Name",C39,"DV01",M39,"MidYield",I39,"BidYield",H39,"AskYield",J39),"--")</f>
        <v>--</v>
      </c>
    </row>
    <row r="40" spans="1:22" x14ac:dyDescent="0.2">
      <c r="A40" s="72" t="s">
        <v>44</v>
      </c>
      <c r="B40" s="89">
        <v>43952</v>
      </c>
      <c r="C40" s="47" t="s">
        <v>364</v>
      </c>
      <c r="D40" s="47" t="s">
        <v>365</v>
      </c>
      <c r="E40" s="109">
        <f ca="1"/>
        <v>91.84</v>
      </c>
      <c r="F40" s="109">
        <f ca="1"/>
        <v>92.052813887322827</v>
      </c>
      <c r="G40" s="109">
        <f t="shared" ca="1" si="35"/>
        <v>92.265627774645651</v>
      </c>
      <c r="H40" s="109">
        <f ca="1">_xll.qlBondYieldFromCleanPrice(N40,E40,YieldDayCounter,YieldCompounding,YieldFrequency)*100</f>
        <v>1.5499897618675016</v>
      </c>
      <c r="I40" s="109">
        <f ca="1">_xll.qlBondYieldFromCleanPrice(O40,F40,YieldDayCounter,YieldCompounding,YieldFrequency)*100</f>
        <v>1.5075282089598481</v>
      </c>
      <c r="J40" s="109">
        <f ca="1">_xll.qlBondYieldFromCleanPrice(P40,G40,YieldDayCounter,YieldCompounding,YieldFrequency)*100</f>
        <v>1.4651823877878489</v>
      </c>
      <c r="K40" s="109">
        <f ca="1">_xll.qlBondDurationFromYield(O40,I40,YieldDayCounter,YieldCompounding,YieldFrequency,K$2)</f>
        <v>2.2070525689671641</v>
      </c>
      <c r="L40" s="109">
        <f ca="1">_xll.qlBondConvexityFromYield(O40,I40/100,YieldDayCounter,YieldCompounding,YieldFrequency)</f>
        <v>35.095991721182358</v>
      </c>
      <c r="M40" s="109" t="e">
        <f t="shared" ca="1" si="3"/>
        <v>#NAME?</v>
      </c>
      <c r="N40" s="109" t="str">
        <f>_xll.qlZeroCouponBond(,,"EUR",3,"target",100,$B40,"f",100,,,Trigger)</f>
        <v>obj_00306#0001</v>
      </c>
      <c r="O40" s="109" t="str">
        <f>_xll.qlZeroCouponBond(,,"EUR",3,"target",100,$B40,"f",100,,,Trigger)</f>
        <v>obj_0039f#0001</v>
      </c>
      <c r="P40" s="109" t="str">
        <f>_xll.qlZeroCouponBond(,,"EUR",3,"target",100,$B40,"f",100,,,Trigger)</f>
        <v>obj_002e7#0001</v>
      </c>
      <c r="Q40" s="109">
        <f t="shared" ca="1" si="36"/>
        <v>91.84</v>
      </c>
      <c r="R40" s="109">
        <f t="shared" ref="R40" ca="1" si="42">Q40</f>
        <v>91.84</v>
      </c>
      <c r="S40" s="33" t="str">
        <f>IF(UPPER(S$1)="ABCD",_xll.RtContribute($D$3,$D40,$Q$3:$R$3,$Q40:$R40,"SCOPE:SERVER"),"--")</f>
        <v>--</v>
      </c>
      <c r="T40" s="33" t="str">
        <f t="shared" si="38"/>
        <v>EUR.PRICING.XLS_STRIPS.IT0001247250</v>
      </c>
      <c r="U40" s="33" t="str">
        <f>IF(UPPER($V$1)="ABCD",MKV_PUBLISHRECORD(T40, "XLS_STRIPS"),"--")</f>
        <v>--</v>
      </c>
      <c r="V40" s="33" t="str">
        <f>IF(UPPER(V$1)="ABCD",MKV_SUPPLYRECORD(T40, "Bid",E40, "Ask",G40, "Id",A40, "Mid",F40, "Name",C40,"DV01",M40,"MidYield",I40,"BidYield",H40,"AskYield",J40),"--")</f>
        <v>--</v>
      </c>
    </row>
    <row r="41" spans="1:22" x14ac:dyDescent="0.2">
      <c r="A41" s="72" t="s">
        <v>45</v>
      </c>
      <c r="B41" s="89">
        <v>44044</v>
      </c>
      <c r="C41" s="47" t="s">
        <v>366</v>
      </c>
      <c r="D41" s="47" t="s">
        <v>367</v>
      </c>
      <c r="E41" s="109">
        <f ca="1"/>
        <v>91.02</v>
      </c>
      <c r="F41" s="109">
        <f ca="1"/>
        <v>91.239296191772141</v>
      </c>
      <c r="G41" s="109">
        <f t="shared" ca="1" si="35"/>
        <v>91.458592383544286</v>
      </c>
      <c r="H41" s="109">
        <f ca="1">_xll.qlBondYieldFromCleanPrice(N41,E41,YieldDayCounter,YieldCompounding,YieldFrequency)*100</f>
        <v>1.6401737249270094</v>
      </c>
      <c r="I41" s="109">
        <f ca="1">_xll.qlBondYieldFromCleanPrice(O41,F41,YieldDayCounter,YieldCompounding,YieldFrequency)*100</f>
        <v>1.5978921423442656</v>
      </c>
      <c r="J41" s="109">
        <f ca="1">_xll.qlBondYieldFromCleanPrice(P41,G41,YieldDayCounter,YieldCompounding,YieldFrequency)*100</f>
        <v>1.5557295712940395</v>
      </c>
      <c r="K41" s="109">
        <f ca="1">_xll.qlBondDurationFromYield(O41,I41,YieldDayCounter,YieldCompounding,YieldFrequency,K$2)</f>
        <v>2.2262516405383526</v>
      </c>
      <c r="L41" s="109">
        <f ca="1">_xll.qlBondConvexityFromYield(O41,I41/100,YieldDayCounter,YieldCompounding,YieldFrequency)</f>
        <v>38.008764195845977</v>
      </c>
      <c r="M41" s="109" t="e">
        <f t="shared" ca="1" si="3"/>
        <v>#NAME?</v>
      </c>
      <c r="N41" s="109" t="str">
        <f>_xll.qlZeroCouponBond(,,"EUR",3,"target",100,$B41,"f",100,,,Trigger)</f>
        <v>obj_00265#0001</v>
      </c>
      <c r="O41" s="109" t="str">
        <f>_xll.qlZeroCouponBond(,,"EUR",3,"target",100,$B41,"f",100,,,Trigger)</f>
        <v>obj_002f2#0001</v>
      </c>
      <c r="P41" s="109" t="str">
        <f>_xll.qlZeroCouponBond(,,"EUR",3,"target",100,$B41,"f",100,,,Trigger)</f>
        <v>obj_00229#0001</v>
      </c>
      <c r="Q41" s="109">
        <f t="shared" ca="1" si="36"/>
        <v>91.02</v>
      </c>
      <c r="R41" s="109">
        <f t="shared" ref="R41" ca="1" si="43">Q41</f>
        <v>91.02</v>
      </c>
      <c r="S41" s="33" t="str">
        <f>IF(UPPER(S$1)="ABCD",_xll.RtContribute($D$3,$D41,$Q$3:$R$3,$Q41:$R41,"SCOPE:SERVER"),"--")</f>
        <v>--</v>
      </c>
      <c r="T41" s="33" t="str">
        <f t="shared" si="38"/>
        <v>EUR.PRICING.XLS_STRIPS.IT0003268635</v>
      </c>
      <c r="U41" s="33" t="str">
        <f>IF(UPPER($V$1)="ABCD",MKV_PUBLISHRECORD(T41, "XLS_STRIPS"),"--")</f>
        <v>--</v>
      </c>
      <c r="V41" s="33" t="str">
        <f>IF(UPPER(V$1)="ABCD",MKV_SUPPLYRECORD(T41, "Bid",E41, "Ask",G41, "Id",A41, "Mid",F41, "Name",C41,"DV01",M41,"MidYield",I41,"BidYield",H41,"AskYield",J41),"--")</f>
        <v>--</v>
      </c>
    </row>
    <row r="42" spans="1:22" x14ac:dyDescent="0.2">
      <c r="A42" s="72" t="s">
        <v>156</v>
      </c>
      <c r="B42" s="89">
        <v>44075</v>
      </c>
      <c r="C42" s="47" t="s">
        <v>157</v>
      </c>
      <c r="D42" s="47" t="s">
        <v>158</v>
      </c>
      <c r="E42" s="109">
        <f ca="1"/>
        <v>90.76</v>
      </c>
      <c r="F42" s="109">
        <f ca="1"/>
        <v>90.981763627646444</v>
      </c>
      <c r="G42" s="109">
        <f t="shared" ca="1" si="35"/>
        <v>91.203527255292883</v>
      </c>
      <c r="H42" s="109">
        <f ca="1">_xll.qlBondYieldFromCleanPrice(N42,E42,YieldDayCounter,YieldCompounding,YieldFrequency)*100</f>
        <v>1.667360319383443</v>
      </c>
      <c r="I42" s="109">
        <f ca="1">_xll.qlBondYieldFromCleanPrice(O42,F42,YieldDayCounter,YieldCompounding,YieldFrequency)*100</f>
        <v>1.6250510034337644</v>
      </c>
      <c r="J42" s="109">
        <f ca="1">_xll.qlBondYieldFromCleanPrice(P42,G42,YieldDayCounter,YieldCompounding,YieldFrequency)*100</f>
        <v>1.5828622276224205</v>
      </c>
      <c r="K42" s="109">
        <f ca="1">_xll.qlBondDurationFromYield(O42,I42,YieldDayCounter,YieldCompounding,YieldFrequency,K$2)</f>
        <v>2.233485631692822</v>
      </c>
      <c r="L42" s="109">
        <f ca="1">_xll.qlBondConvexityFromYield(O42,I42/100,YieldDayCounter,YieldCompounding,YieldFrequency)</f>
        <v>38.961370172428111</v>
      </c>
      <c r="M42" s="109" t="e">
        <f t="shared" ca="1" si="3"/>
        <v>#NAME?</v>
      </c>
      <c r="N42" s="109" t="str">
        <f>_xll.qlZeroCouponBond(,,"EUR",3,"target",100,$B42,"f",100,,,Trigger)</f>
        <v>obj_0027b#0001</v>
      </c>
      <c r="O42" s="109" t="str">
        <f>_xll.qlZeroCouponBond(,,"EUR",3,"target",100,$B42,"f",100,,,Trigger)</f>
        <v>obj_0031a#0001</v>
      </c>
      <c r="P42" s="109" t="str">
        <f>_xll.qlZeroCouponBond(,,"EUR",3,"target",100,$B42,"f",100,,,Trigger)</f>
        <v>obj_0023a#0001</v>
      </c>
      <c r="Q42" s="109">
        <f t="shared" ca="1" si="36"/>
        <v>90.76</v>
      </c>
      <c r="R42" s="109">
        <f t="shared" ref="R42" ca="1" si="44">Q42</f>
        <v>90.76</v>
      </c>
      <c r="S42" s="33" t="str">
        <f>IF(UPPER(S$1)="ABCD",_xll.RtContribute($D$3,$D42,$Q$3:$R$3,$Q42:$R42,"SCOPE:SERVER"),"--")</f>
        <v>--</v>
      </c>
      <c r="T42" s="33" t="str">
        <f t="shared" si="38"/>
        <v>EUR.PRICING.XLS_STRIPS.IT0004957871</v>
      </c>
      <c r="U42" s="33" t="str">
        <f>IF(UPPER($V$1)="ABCD",MKV_PUBLISHRECORD(T42, "XLS_STRIPS"),"--")</f>
        <v>--</v>
      </c>
      <c r="V42" s="33" t="str">
        <f>IF(UPPER(V$1)="ABCD",MKV_SUPPLYRECORD(T42, "Bid",E42, "Ask",G42, "Id",A42, "Mid",F42, "Name",C42,"DV01",M42,"MidYield",I42,"BidYield",H42,"AskYield",J42),"--")</f>
        <v>--</v>
      </c>
    </row>
    <row r="43" spans="1:22" x14ac:dyDescent="0.2">
      <c r="A43" s="72" t="s">
        <v>46</v>
      </c>
      <c r="B43" s="89">
        <v>44136</v>
      </c>
      <c r="C43" s="47" t="s">
        <v>368</v>
      </c>
      <c r="D43" s="47" t="s">
        <v>369</v>
      </c>
      <c r="E43" s="109">
        <f ca="1"/>
        <v>90.31</v>
      </c>
      <c r="F43" s="109">
        <f ca="1"/>
        <v>90.534570198326108</v>
      </c>
      <c r="G43" s="109">
        <f t="shared" ca="1" si="35"/>
        <v>90.759140396652214</v>
      </c>
      <c r="H43" s="109">
        <f ca="1">_xll.qlBondYieldFromCleanPrice(N43,E43,YieldDayCounter,YieldCompounding,YieldFrequency)*100</f>
        <v>1.7037944004840058</v>
      </c>
      <c r="I43" s="109">
        <f ca="1">_xll.qlBondYieldFromCleanPrice(O43,F43,YieldDayCounter,YieldCompounding,YieldFrequency)*100</f>
        <v>1.6619343101605777</v>
      </c>
      <c r="J43" s="109">
        <f ca="1">_xll.qlBondYieldFromCleanPrice(P43,G43,YieldDayCounter,YieldCompounding,YieldFrequency)*100</f>
        <v>1.6201950861141092</v>
      </c>
      <c r="K43" s="109">
        <f ca="1">_xll.qlBondDurationFromYield(O43,I43,YieldDayCounter,YieldCompounding,YieldFrequency,K$2)</f>
        <v>2.2663507094451334</v>
      </c>
      <c r="L43" s="109">
        <f ca="1">_xll.qlBondConvexityFromYield(O43,I43/100,YieldDayCounter,YieldCompounding,YieldFrequency)</f>
        <v>41.052604659668098</v>
      </c>
      <c r="M43" s="109" t="e">
        <f t="shared" ca="1" si="3"/>
        <v>#NAME?</v>
      </c>
      <c r="N43" s="109" t="str">
        <f>_xll.qlZeroCouponBond(,,"EUR",3,"target",100,$B43,"f",100,,,Trigger)</f>
        <v>obj_002dc#0001</v>
      </c>
      <c r="O43" s="109" t="str">
        <f>_xll.qlZeroCouponBond(,,"EUR",3,"target",100,$B43,"f",100,,,Trigger)</f>
        <v>obj_003b6#0001</v>
      </c>
      <c r="P43" s="109" t="str">
        <f>_xll.qlZeroCouponBond(,,"EUR",3,"target",100,$B43,"f",100,,,Trigger)</f>
        <v>obj_0024b#0001</v>
      </c>
      <c r="Q43" s="109">
        <f t="shared" ca="1" si="36"/>
        <v>90.31</v>
      </c>
      <c r="R43" s="109">
        <f t="shared" ref="R43" ca="1" si="45">Q43</f>
        <v>90.31</v>
      </c>
      <c r="S43" s="33" t="str">
        <f>IF(UPPER(S$1)="ABCD",_xll.RtContribute($D$3,$D43,$Q$3:$R$3,$Q43:$R43,"SCOPE:SERVER"),"--")</f>
        <v>--</v>
      </c>
      <c r="T43" s="33" t="str">
        <f t="shared" si="38"/>
        <v>EUR.PRICING.XLS_STRIPS.IT0001247268</v>
      </c>
      <c r="U43" s="33" t="str">
        <f>IF(UPPER($V$1)="ABCD",MKV_PUBLISHRECORD(T43, "XLS_STRIPS"),"--")</f>
        <v>--</v>
      </c>
      <c r="V43" s="33" t="str">
        <f>IF(UPPER(V$1)="ABCD",MKV_SUPPLYRECORD(T43, "Bid",E43, "Ask",G43, "Id",A43, "Mid",F43, "Name",C43,"DV01",M43,"MidYield",I43,"BidYield",H43,"AskYield",J43),"--")</f>
        <v>--</v>
      </c>
    </row>
    <row r="44" spans="1:22" x14ac:dyDescent="0.2">
      <c r="A44" s="72" t="s">
        <v>47</v>
      </c>
      <c r="B44" s="89">
        <v>44228</v>
      </c>
      <c r="C44" s="47" t="s">
        <v>370</v>
      </c>
      <c r="D44" s="47" t="s">
        <v>371</v>
      </c>
      <c r="E44" s="109">
        <f ca="1"/>
        <v>89.49</v>
      </c>
      <c r="F44" s="109">
        <f ca="1"/>
        <v>89.71601378373208</v>
      </c>
      <c r="G44" s="109">
        <f t="shared" ca="1" si="35"/>
        <v>89.942027567464166</v>
      </c>
      <c r="H44" s="109">
        <f ca="1">_xll.qlBondYieldFromCleanPrice(N44,E44,YieldDayCounter,YieldCompounding,YieldFrequency)*100</f>
        <v>1.7833027916774162</v>
      </c>
      <c r="I44" s="109">
        <f ca="1">_xll.qlBondYieldFromCleanPrice(O44,F44,YieldDayCounter,YieldCompounding,YieldFrequency)*100</f>
        <v>1.7424434981122621</v>
      </c>
      <c r="J44" s="109">
        <f ca="1">_xll.qlBondYieldFromCleanPrice(P44,G44,YieldDayCounter,YieldCompounding,YieldFrequency)*100</f>
        <v>1.701703363565809</v>
      </c>
      <c r="K44" s="109">
        <f ca="1">_xll.qlBondDurationFromYield(O44,I44,YieldDayCounter,YieldCompounding,YieldFrequency,K$2)</f>
        <v>2.2907278801354383</v>
      </c>
      <c r="L44" s="109">
        <f ca="1">_xll.qlBondConvexityFromYield(O44,I44/100,YieldDayCounter,YieldCompounding,YieldFrequency)</f>
        <v>44.194576350936266</v>
      </c>
      <c r="M44" s="109" t="e">
        <f t="shared" ca="1" si="3"/>
        <v>#NAME?</v>
      </c>
      <c r="N44" s="109" t="str">
        <f>_xll.qlZeroCouponBond(,,"EUR",3,"target",100,$B44,"f",100,,,Trigger)</f>
        <v>obj_00253#0001</v>
      </c>
      <c r="O44" s="109" t="str">
        <f>_xll.qlZeroCouponBond(,,"EUR",3,"target",100,$B44,"f",100,,,Trigger)</f>
        <v>obj_00399#0001</v>
      </c>
      <c r="P44" s="109" t="str">
        <f>_xll.qlZeroCouponBond(,,"EUR",3,"target",100,$B44,"f",100,,,Trigger)</f>
        <v>obj_002d7#0001</v>
      </c>
      <c r="Q44" s="109">
        <f t="shared" ca="1" si="36"/>
        <v>89.49</v>
      </c>
      <c r="R44" s="109">
        <f t="shared" ref="R44" ca="1" si="46">Q44</f>
        <v>89.49</v>
      </c>
      <c r="S44" s="33" t="str">
        <f>IF(UPPER(S$1)="ABCD",_xll.RtContribute($D$3,$D44,$Q$3:$R$3,$Q44:$R44,"SCOPE:SERVER"),"--")</f>
        <v>--</v>
      </c>
      <c r="T44" s="33" t="str">
        <f t="shared" si="38"/>
        <v>EUR.PRICING.XLS_STRIPS.IT0003268676</v>
      </c>
      <c r="U44" s="33" t="str">
        <f>IF(UPPER($V$1)="ABCD",MKV_PUBLISHRECORD(T44, "XLS_STRIPS"),"--")</f>
        <v>--</v>
      </c>
      <c r="V44" s="33" t="str">
        <f>IF(UPPER(V$1)="ABCD",MKV_SUPPLYRECORD(T44, "Bid",E44, "Ask",G44, "Id",A44, "Mid",F44, "Name",C44,"DV01",M44,"MidYield",I44,"BidYield",H44,"AskYield",J44),"--")</f>
        <v>--</v>
      </c>
    </row>
    <row r="45" spans="1:22" x14ac:dyDescent="0.2">
      <c r="A45" s="72" t="s">
        <v>159</v>
      </c>
      <c r="B45" s="89">
        <v>44256</v>
      </c>
      <c r="C45" s="47" t="s">
        <v>160</v>
      </c>
      <c r="D45" s="47" t="s">
        <v>161</v>
      </c>
      <c r="E45" s="109">
        <f ca="1"/>
        <v>89.13</v>
      </c>
      <c r="F45" s="109">
        <f ca="1"/>
        <v>89.358064688018203</v>
      </c>
      <c r="G45" s="109">
        <f t="shared" ca="1" si="35"/>
        <v>89.586129376036411</v>
      </c>
      <c r="H45" s="109">
        <f ca="1">_xll.qlBondYieldFromCleanPrice(N45,E45,YieldDayCounter,YieldCompounding,YieldFrequency)*100</f>
        <v>1.8261281820759176</v>
      </c>
      <c r="I45" s="109">
        <f ca="1">_xll.qlBondYieldFromCleanPrice(O45,F45,YieldDayCounter,YieldCompounding,YieldFrequency)*100</f>
        <v>1.7852144807204609</v>
      </c>
      <c r="J45" s="109">
        <f ca="1">_xll.qlBondYieldFromCleanPrice(P45,G45,YieldDayCounter,YieldCompounding,YieldFrequency)*100</f>
        <v>1.7444214435294276</v>
      </c>
      <c r="K45" s="109">
        <f ca="1">_xll.qlBondDurationFromYield(O45,I45,YieldDayCounter,YieldCompounding,YieldFrequency,K$2)</f>
        <v>2.2830931526480365</v>
      </c>
      <c r="L45" s="109">
        <f ca="1">_xll.qlBondConvexityFromYield(O45,I45/100,YieldDayCounter,YieldCompounding,YieldFrequency)</f>
        <v>45.167497338807969</v>
      </c>
      <c r="M45" s="109" t="e">
        <f t="shared" ca="1" si="3"/>
        <v>#NAME?</v>
      </c>
      <c r="N45" s="109" t="str">
        <f>_xll.qlZeroCouponBond(,,"EUR",3,"target",100,$B45,"f",100,,,Trigger)</f>
        <v>obj_002e2#0001</v>
      </c>
      <c r="O45" s="109" t="str">
        <f>_xll.qlZeroCouponBond(,,"EUR",3,"target",100,$B45,"f",100,,,Trigger)</f>
        <v>obj_002ec#0001</v>
      </c>
      <c r="P45" s="109" t="str">
        <f>_xll.qlZeroCouponBond(,,"EUR",3,"target",100,$B45,"f",100,,,Trigger)</f>
        <v>obj_0029b#0001</v>
      </c>
      <c r="Q45" s="109">
        <f t="shared" ca="1" si="36"/>
        <v>89.13</v>
      </c>
      <c r="R45" s="109">
        <f t="shared" ref="R45" ca="1" si="47">Q45</f>
        <v>89.13</v>
      </c>
      <c r="S45" s="33" t="str">
        <f>IF(UPPER(S$1)="ABCD",_xll.RtContribute($D$3,$D45,$Q$3:$R$3,$Q45:$R45,"SCOPE:SERVER"),"--")</f>
        <v>--</v>
      </c>
      <c r="T45" s="33" t="str">
        <f t="shared" si="38"/>
        <v>EUR.PRICING.XLS_STRIPS.IT0004957889</v>
      </c>
      <c r="U45" s="33" t="str">
        <f>IF(UPPER($V$1)="ABCD",MKV_PUBLISHRECORD(T45, "XLS_STRIPS"),"--")</f>
        <v>--</v>
      </c>
      <c r="V45" s="33" t="str">
        <f>IF(UPPER(V$1)="ABCD",MKV_SUPPLYRECORD(T45, "Bid",E45, "Ask",G45, "Id",A45, "Mid",F45, "Name",C45,"DV01",M45,"MidYield",I45,"BidYield",H45,"AskYield",J45),"--")</f>
        <v>--</v>
      </c>
    </row>
    <row r="46" spans="1:22" x14ac:dyDescent="0.2">
      <c r="A46" s="72" t="s">
        <v>48</v>
      </c>
      <c r="B46" s="89">
        <v>44317</v>
      </c>
      <c r="C46" s="47" t="s">
        <v>372</v>
      </c>
      <c r="D46" s="47" t="s">
        <v>373</v>
      </c>
      <c r="E46" s="109">
        <f ca="1"/>
        <v>88.25</v>
      </c>
      <c r="F46" s="109">
        <f ca="1"/>
        <v>88.489745651754589</v>
      </c>
      <c r="G46" s="109">
        <f t="shared" ca="1" si="35"/>
        <v>88.729491303509178</v>
      </c>
      <c r="H46" s="109">
        <f ca="1">_xll.qlBondYieldFromCleanPrice(N46,E46,YieldDayCounter,YieldCompounding,YieldFrequency)*100</f>
        <v>1.9321761047467589</v>
      </c>
      <c r="I46" s="109">
        <f ca="1">_xll.qlBondYieldFromCleanPrice(O46,F46,YieldDayCounter,YieldCompounding,YieldFrequency)*100</f>
        <v>1.8898455028594294</v>
      </c>
      <c r="J46" s="109">
        <f ca="1">_xll.qlBondYieldFromCleanPrice(P46,G46,YieldDayCounter,YieldCompounding,YieldFrequency)*100</f>
        <v>1.8476469353213916</v>
      </c>
      <c r="K46" s="109">
        <f ca="1">_xll.qlBondDurationFromYield(O46,I46,YieldDayCounter,YieldCompounding,YieldFrequency,K$2)</f>
        <v>2.2601577983502255</v>
      </c>
      <c r="L46" s="109">
        <f ca="1">_xll.qlBondConvexityFromYield(O46,I46/100,YieldDayCounter,YieldCompounding,YieldFrequency)</f>
        <v>47.384189292024004</v>
      </c>
      <c r="M46" s="109" t="e">
        <f t="shared" ca="1" si="3"/>
        <v>#NAME?</v>
      </c>
      <c r="N46" s="109" t="str">
        <f>_xll.qlZeroCouponBond(,,"EUR",3,"target",100,$B46,"f",100,,,Trigger)</f>
        <v>obj_003ac#0001</v>
      </c>
      <c r="O46" s="109" t="str">
        <f>_xll.qlZeroCouponBond(,,"EUR",3,"target",100,$B46,"f",100,,,Trigger)</f>
        <v>obj_00258#0001</v>
      </c>
      <c r="P46" s="109" t="str">
        <f>_xll.qlZeroCouponBond(,,"EUR",3,"target",100,$B46,"f",100,,,Trigger)</f>
        <v>obj_002a1#0001</v>
      </c>
      <c r="Q46" s="109">
        <f t="shared" ca="1" si="36"/>
        <v>88.25</v>
      </c>
      <c r="R46" s="109">
        <f t="shared" ref="R46" ca="1" si="48">Q46</f>
        <v>88.25</v>
      </c>
      <c r="S46" s="33" t="str">
        <f>IF(UPPER(S$1)="ABCD",_xll.RtContribute($D$3,$D46,$Q$3:$R$3,$Q46:$R46,"SCOPE:SERVER"),"--")</f>
        <v>--</v>
      </c>
      <c r="T46" s="33" t="str">
        <f t="shared" si="38"/>
        <v>EUR.PRICING.XLS_STRIPS.IT0001247276</v>
      </c>
      <c r="U46" s="33" t="str">
        <f>IF(UPPER($V$1)="ABCD",MKV_PUBLISHRECORD(T46, "XLS_STRIPS"),"--")</f>
        <v>--</v>
      </c>
      <c r="V46" s="33" t="str">
        <f>IF(UPPER(V$1)="ABCD",MKV_SUPPLYRECORD(T46, "Bid",E46, "Ask",G46, "Id",A46, "Mid",F46, "Name",C46,"DV01",M46,"MidYield",I46,"BidYield",H46,"AskYield",J46),"--")</f>
        <v>--</v>
      </c>
    </row>
    <row r="47" spans="1:22" x14ac:dyDescent="0.2">
      <c r="A47" s="72" t="s">
        <v>374</v>
      </c>
      <c r="B47" s="89">
        <v>44409</v>
      </c>
      <c r="C47" s="47" t="s">
        <v>375</v>
      </c>
      <c r="D47" s="47" t="s">
        <v>376</v>
      </c>
      <c r="E47" s="109">
        <f ca="1"/>
        <v>87.48</v>
      </c>
      <c r="F47" s="109">
        <f ca="1"/>
        <v>87.726738402193249</v>
      </c>
      <c r="G47" s="109">
        <f t="shared" ca="1" si="35"/>
        <v>87.973476804386493</v>
      </c>
      <c r="H47" s="109">
        <f ca="1">_xll.qlBondYieldFromCleanPrice(N47,E47,YieldDayCounter,YieldCompounding,YieldFrequency)*100</f>
        <v>1.9922068350389608</v>
      </c>
      <c r="I47" s="109">
        <f ca="1">_xll.qlBondYieldFromCleanPrice(O47,F47,YieldDayCounter,YieldCompounding,YieldFrequency)*100</f>
        <v>1.9498512453958399</v>
      </c>
      <c r="J47" s="109">
        <f ca="1">_xll.qlBondYieldFromCleanPrice(P47,G47,YieldDayCounter,YieldCompounding,YieldFrequency)*100</f>
        <v>1.9076321327785892</v>
      </c>
      <c r="K47" s="109">
        <f ca="1">_xll.qlBondDurationFromYield(O47,I47,YieldDayCounter,YieldCompounding,YieldFrequency,K$2)</f>
        <v>2.2986996135455304</v>
      </c>
      <c r="L47" s="109">
        <f ca="1">_xll.qlBondConvexityFromYield(O47,I47/100,YieldDayCounter,YieldCompounding,YieldFrequency)</f>
        <v>50.761520400080286</v>
      </c>
      <c r="M47" s="109" t="e">
        <f t="shared" ca="1" si="3"/>
        <v>#NAME?</v>
      </c>
      <c r="N47" s="109" t="str">
        <f>_xll.qlZeroCouponBond(,,"EUR",3,"target",100,$B47,"f",100,,,Trigger)</f>
        <v>obj_00252#0001</v>
      </c>
      <c r="O47" s="109" t="str">
        <f>_xll.qlZeroCouponBond(,,"EUR",3,"target",100,$B47,"f",100,,,Trigger)</f>
        <v>obj_002d0#0001</v>
      </c>
      <c r="P47" s="109" t="str">
        <f>_xll.qlZeroCouponBond(,,"EUR",3,"target",100,$B47,"f",100,,,Trigger)</f>
        <v>obj_0031d#0001</v>
      </c>
      <c r="Q47" s="109">
        <f t="shared" ca="1" si="36"/>
        <v>87.48</v>
      </c>
      <c r="R47" s="109">
        <f t="shared" ref="R47" ca="1" si="49">Q47</f>
        <v>87.48</v>
      </c>
      <c r="S47" s="33" t="str">
        <f>IF(UPPER(S$1)="ABCD",_xll.RtContribute($D$3,$D47,$Q$3:$R$3,$Q47:$R47,"SCOPE:SERVER"),"--")</f>
        <v>--</v>
      </c>
      <c r="T47" s="33" t="str">
        <f t="shared" si="38"/>
        <v>EUR.PRICING.XLS_STRIPS.IT0004848658</v>
      </c>
      <c r="U47" s="33" t="str">
        <f>IF(UPPER($V$1)="ABCD",MKV_PUBLISHRECORD(T47, "XLS_STRIPS"),"--")</f>
        <v>--</v>
      </c>
      <c r="V47" s="33" t="str">
        <f>IF(UPPER(V$1)="ABCD",MKV_SUPPLYRECORD(T47, "Bid",E47, "Ask",G47, "Id",A47, "Mid",F47, "Name",C47,"DV01",M47,"MidYield",I47,"BidYield",H47,"AskYield",J47),"--")</f>
        <v>--</v>
      </c>
    </row>
    <row r="48" spans="1:22" x14ac:dyDescent="0.2">
      <c r="A48" s="72" t="s">
        <v>162</v>
      </c>
      <c r="B48" s="89">
        <v>44440</v>
      </c>
      <c r="C48" s="47" t="s">
        <v>163</v>
      </c>
      <c r="D48" s="47" t="s">
        <v>164</v>
      </c>
      <c r="E48" s="109">
        <f ca="1"/>
        <v>87.09</v>
      </c>
      <c r="F48" s="109">
        <f ca="1"/>
        <v>87.330124807316082</v>
      </c>
      <c r="G48" s="109">
        <f t="shared" ca="1" si="35"/>
        <v>87.570249614632161</v>
      </c>
      <c r="H48" s="109">
        <f ca="1">_xll.qlBondYieldFromCleanPrice(N48,E48,YieldDayCounter,YieldCompounding,YieldFrequency)*100</f>
        <v>2.0345222454335232</v>
      </c>
      <c r="I48" s="109">
        <f ca="1">_xll.qlBondYieldFromCleanPrice(O48,F48,YieldDayCounter,YieldCompounding,YieldFrequency)*100</f>
        <v>1.9935946806892761</v>
      </c>
      <c r="J48" s="109">
        <f ca="1">_xll.qlBondYieldFromCleanPrice(P48,G48,YieldDayCounter,YieldCompounding,YieldFrequency)*100</f>
        <v>1.9527958514168868</v>
      </c>
      <c r="K48" s="109">
        <f ca="1">_xll.qlBondDurationFromYield(O48,I48,YieldDayCounter,YieldCompounding,YieldFrequency,K$2)</f>
        <v>2.292566105525657</v>
      </c>
      <c r="L48" s="109">
        <f ca="1">_xll.qlBondConvexityFromYield(O48,I48/100,YieldDayCounter,YieldCompounding,YieldFrequency)</f>
        <v>51.874998983476999</v>
      </c>
      <c r="M48" s="109" t="e">
        <f t="shared" ca="1" si="3"/>
        <v>#NAME?</v>
      </c>
      <c r="N48" s="109" t="str">
        <f>_xll.qlZeroCouponBond(,,"EUR",3,"target",100,$B48,"f",100,,,Trigger)</f>
        <v>obj_003a1#0001</v>
      </c>
      <c r="O48" s="109" t="str">
        <f>_xll.qlZeroCouponBond(,,"EUR",3,"target",100,$B48,"f",100,,,Trigger)</f>
        <v>obj_00264#0001</v>
      </c>
      <c r="P48" s="109" t="str">
        <f>_xll.qlZeroCouponBond(,,"EUR",3,"target",100,$B48,"f",100,,,Trigger)</f>
        <v>obj_002e0#0001</v>
      </c>
      <c r="Q48" s="109">
        <f t="shared" ca="1" si="36"/>
        <v>87.09</v>
      </c>
      <c r="R48" s="109">
        <f t="shared" ref="R48" ca="1" si="50">Q48</f>
        <v>87.09</v>
      </c>
      <c r="S48" s="33" t="str">
        <f>IF(UPPER(S$1)="ABCD",_xll.RtContribute($D$3,$D48,$Q$3:$R$3,$Q48:$R48,"SCOPE:SERVER"),"--")</f>
        <v>--</v>
      </c>
      <c r="T48" s="33" t="str">
        <f t="shared" si="38"/>
        <v>EUR.PRICING.XLS_STRIPS.IT0004957897</v>
      </c>
      <c r="U48" s="33" t="str">
        <f>IF(UPPER($V$1)="ABCD",MKV_PUBLISHRECORD(T48, "XLS_STRIPS"),"--")</f>
        <v>--</v>
      </c>
      <c r="V48" s="33" t="str">
        <f>IF(UPPER(V$1)="ABCD",MKV_SUPPLYRECORD(T48, "Bid",E48, "Ask",G48, "Id",A48, "Mid",F48, "Name",C48,"DV01",M48,"MidYield",I48,"BidYield",H48,"AskYield",J48),"--")</f>
        <v>--</v>
      </c>
    </row>
    <row r="49" spans="1:22" x14ac:dyDescent="0.2">
      <c r="A49" s="72" t="s">
        <v>49</v>
      </c>
      <c r="B49" s="89">
        <v>44501</v>
      </c>
      <c r="C49" s="47" t="s">
        <v>377</v>
      </c>
      <c r="D49" s="47" t="s">
        <v>378</v>
      </c>
      <c r="E49" s="109">
        <f ca="1"/>
        <v>86.36</v>
      </c>
      <c r="F49" s="109">
        <f ca="1"/>
        <v>86.606230369168657</v>
      </c>
      <c r="G49" s="109">
        <f t="shared" ca="1" si="35"/>
        <v>86.852460738337314</v>
      </c>
      <c r="H49" s="109">
        <f ca="1">_xll.qlBondYieldFromCleanPrice(N49,E49,YieldDayCounter,YieldCompounding,YieldFrequency)*100</f>
        <v>2.1078643621131783</v>
      </c>
      <c r="I49" s="109">
        <f ca="1">_xll.qlBondYieldFromCleanPrice(O49,F49,YieldDayCounter,YieldCompounding,YieldFrequency)*100</f>
        <v>2.0665198306366812</v>
      </c>
      <c r="J49" s="109">
        <f ca="1">_xll.qlBondYieldFromCleanPrice(P49,G49,YieldDayCounter,YieldCompounding,YieldFrequency)*100</f>
        <v>2.0253093480691318</v>
      </c>
      <c r="K49" s="109">
        <f ca="1">_xll.qlBondDurationFromYield(O49,I49,YieldDayCounter,YieldCompounding,YieldFrequency,K$2)</f>
        <v>2.2925457438968362</v>
      </c>
      <c r="L49" s="109">
        <f ca="1">_xll.qlBondConvexityFromYield(O49,I49/100,YieldDayCounter,YieldCompounding,YieldFrequency)</f>
        <v>54.190121887973028</v>
      </c>
      <c r="M49" s="109" t="e">
        <f t="shared" ca="1" si="3"/>
        <v>#NAME?</v>
      </c>
      <c r="N49" s="109" t="str">
        <f>_xll.qlZeroCouponBond(,,"EUR",3,"target",100,$B49,"f",100,,,Trigger)</f>
        <v>obj_0029e#0001</v>
      </c>
      <c r="O49" s="109" t="str">
        <f>_xll.qlZeroCouponBond(,,"EUR",3,"target",100,$B49,"f",100,,,Trigger)</f>
        <v>obj_00376#0001</v>
      </c>
      <c r="P49" s="109" t="str">
        <f>_xll.qlZeroCouponBond(,,"EUR",3,"target",100,$B49,"f",100,,,Trigger)</f>
        <v>obj_00343#0001</v>
      </c>
      <c r="Q49" s="109">
        <f t="shared" ca="1" si="36"/>
        <v>86.36</v>
      </c>
      <c r="R49" s="109">
        <f t="shared" ref="R49" ca="1" si="51">Q49</f>
        <v>86.36</v>
      </c>
      <c r="S49" s="33" t="str">
        <f>IF(UPPER(S$1)="ABCD",_xll.RtContribute($D$3,$D49,$Q$3:$R$3,$Q49:$R49,"SCOPE:SERVER"),"--")</f>
        <v>--</v>
      </c>
      <c r="T49" s="33" t="str">
        <f t="shared" si="38"/>
        <v>EUR.PRICING.XLS_STRIPS.IT0001247284</v>
      </c>
      <c r="U49" s="33" t="str">
        <f>IF(UPPER($V$1)="ABCD",MKV_PUBLISHRECORD(T49, "XLS_STRIPS"),"--")</f>
        <v>--</v>
      </c>
      <c r="V49" s="33" t="str">
        <f>IF(UPPER(V$1)="ABCD",MKV_SUPPLYRECORD(T49, "Bid",E49, "Ask",G49, "Id",A49, "Mid",F49, "Name",C49,"DV01",M49,"MidYield",I49,"BidYield",H49,"AskYield",J49),"--")</f>
        <v>--</v>
      </c>
    </row>
    <row r="50" spans="1:22" x14ac:dyDescent="0.2">
      <c r="A50" s="72" t="s">
        <v>50</v>
      </c>
      <c r="B50" s="89">
        <v>44593</v>
      </c>
      <c r="C50" s="47" t="s">
        <v>379</v>
      </c>
      <c r="D50" s="47" t="s">
        <v>380</v>
      </c>
      <c r="E50" s="109">
        <f ca="1"/>
        <v>85.46</v>
      </c>
      <c r="F50" s="109">
        <f ca="1"/>
        <v>85.714132227127322</v>
      </c>
      <c r="G50" s="109">
        <f t="shared" ca="1" si="35"/>
        <v>85.968264454254651</v>
      </c>
      <c r="H50" s="109">
        <f ca="1">_xll.qlBondYieldFromCleanPrice(N50,E50,YieldDayCounter,YieldCompounding,YieldFrequency)*100</f>
        <v>2.1810611316927031</v>
      </c>
      <c r="I50" s="109">
        <f ca="1">_xll.qlBondYieldFromCleanPrice(O50,F50,YieldDayCounter,YieldCompounding,YieldFrequency)*100</f>
        <v>2.1394057077541957</v>
      </c>
      <c r="J50" s="109">
        <f ca="1">_xll.qlBondYieldFromCleanPrice(P50,G50,YieldDayCounter,YieldCompounding,YieldFrequency)*100</f>
        <v>2.0978904960970235</v>
      </c>
      <c r="K50" s="109">
        <f ca="1">_xll.qlBondDurationFromYield(O50,I50,YieldDayCounter,YieldCompounding,YieldFrequency,K$2)</f>
        <v>2.3196083777369774</v>
      </c>
      <c r="L50" s="109">
        <f ca="1">_xll.qlBondConvexityFromYield(O50,I50/100,YieldDayCounter,YieldCompounding,YieldFrequency)</f>
        <v>57.812365759709756</v>
      </c>
      <c r="M50" s="109" t="e">
        <f t="shared" ca="1" si="3"/>
        <v>#NAME?</v>
      </c>
      <c r="N50" s="109" t="str">
        <f>_xll.qlZeroCouponBond(,,"EUR",3,"target",100,$B50,"f",100,,,Trigger)</f>
        <v>obj_0035f#0001</v>
      </c>
      <c r="O50" s="109" t="str">
        <f>_xll.qlZeroCouponBond(,,"EUR",3,"target",100,$B50,"f",100,,,Trigger)</f>
        <v>obj_002ad#0001</v>
      </c>
      <c r="P50" s="109" t="str">
        <f>_xll.qlZeroCouponBond(,,"EUR",3,"target",100,$B50,"f",100,,,Trigger)</f>
        <v>obj_00302#0001</v>
      </c>
      <c r="Q50" s="109">
        <f t="shared" ca="1" si="36"/>
        <v>85.46</v>
      </c>
      <c r="R50" s="109">
        <f t="shared" ref="R50" ca="1" si="52">Q50</f>
        <v>85.46</v>
      </c>
      <c r="S50" s="33" t="str">
        <f>IF(UPPER(S$1)="ABCD",_xll.RtContribute($D$3,$D50,$Q$3:$R$3,$Q50:$R50,"SCOPE:SERVER"),"--")</f>
        <v>--</v>
      </c>
      <c r="T50" s="33" t="str">
        <f t="shared" si="38"/>
        <v>EUR.PRICING.XLS_STRIPS.IT0003268726</v>
      </c>
      <c r="U50" s="33" t="str">
        <f>IF(UPPER($V$1)="ABCD",MKV_PUBLISHRECORD(T50, "XLS_STRIPS"),"--")</f>
        <v>--</v>
      </c>
      <c r="V50" s="33" t="str">
        <f>IF(UPPER(V$1)="ABCD",MKV_SUPPLYRECORD(T50, "Bid",E50, "Ask",G50, "Id",A50, "Mid",F50, "Name",C50,"DV01",M50,"MidYield",I50,"BidYield",H50,"AskYield",J50),"--")</f>
        <v>--</v>
      </c>
    </row>
    <row r="51" spans="1:22" x14ac:dyDescent="0.2">
      <c r="A51" s="72" t="s">
        <v>165</v>
      </c>
      <c r="B51" s="89">
        <v>44621</v>
      </c>
      <c r="C51" s="47" t="s">
        <v>166</v>
      </c>
      <c r="D51" s="47" t="s">
        <v>167</v>
      </c>
      <c r="E51" s="109">
        <f ca="1"/>
        <v>85.2</v>
      </c>
      <c r="F51" s="109">
        <f ca="1"/>
        <v>85.456097363097399</v>
      </c>
      <c r="G51" s="109">
        <f t="shared" ca="1" si="35"/>
        <v>85.712194726194795</v>
      </c>
      <c r="H51" s="109">
        <f ca="1">_xll.qlBondYieldFromCleanPrice(N51,E51,YieldDayCounter,YieldCompounding,YieldFrequency)*100</f>
        <v>2.2003891467145431</v>
      </c>
      <c r="I51" s="109">
        <f ca="1">_xll.qlBondYieldFromCleanPrice(O51,F51,YieldDayCounter,YieldCompounding,YieldFrequency)*100</f>
        <v>2.1587152226641781</v>
      </c>
      <c r="J51" s="109">
        <f ca="1">_xll.qlBondYieldFromCleanPrice(P51,G51,YieldDayCounter,YieldCompounding,YieldFrequency)*100</f>
        <v>2.1171829164826796</v>
      </c>
      <c r="K51" s="109">
        <f ca="1">_xll.qlBondDurationFromYield(O51,I51,YieldDayCounter,YieldCompounding,YieldFrequency,K$2)</f>
        <v>2.3297143271378125</v>
      </c>
      <c r="L51" s="109">
        <f ca="1">_xll.qlBondConvexityFromYield(O51,I51/100,YieldDayCounter,YieldCompounding,YieldFrequency)</f>
        <v>58.940205009533827</v>
      </c>
      <c r="M51" s="109" t="e">
        <f t="shared" ca="1" si="3"/>
        <v>#NAME?</v>
      </c>
      <c r="N51" s="109" t="str">
        <f>_xll.qlZeroCouponBond(,,"EUR",3,"target",100,$B51,"f",100,,,Trigger)</f>
        <v>obj_0030e#0001</v>
      </c>
      <c r="O51" s="109" t="str">
        <f>_xll.qlZeroCouponBond(,,"EUR",3,"target",100,$B51,"f",100,,,Trigger)</f>
        <v>obj_002b9#0001</v>
      </c>
      <c r="P51" s="109" t="str">
        <f>_xll.qlZeroCouponBond(,,"EUR",3,"target",100,$B51,"f",100,,,Trigger)</f>
        <v>obj_00267#0001</v>
      </c>
      <c r="Q51" s="109">
        <f t="shared" ca="1" si="36"/>
        <v>85.2</v>
      </c>
      <c r="R51" s="109">
        <f t="shared" ref="R51" ca="1" si="53">Q51</f>
        <v>85.2</v>
      </c>
      <c r="S51" s="33" t="str">
        <f>IF(UPPER(S$1)="ABCD",_xll.RtContribute($D$3,$D51,$Q$3:$R$3,$Q51:$R51,"SCOPE:SERVER"),"--")</f>
        <v>--</v>
      </c>
      <c r="T51" s="33" t="str">
        <f t="shared" si="38"/>
        <v>EUR.PRICING.XLS_STRIPS.IT0004957905</v>
      </c>
      <c r="U51" s="33" t="str">
        <f>IF(UPPER($V$1)="ABCD",MKV_PUBLISHRECORD(T51, "XLS_STRIPS"),"--")</f>
        <v>--</v>
      </c>
      <c r="V51" s="33" t="str">
        <f>IF(UPPER(V$1)="ABCD",MKV_SUPPLYRECORD(T51, "Bid",E51, "Ask",G51, "Id",A51, "Mid",F51, "Name",C51,"DV01",M51,"MidYield",I51,"BidYield",H51,"AskYield",J51),"--")</f>
        <v>--</v>
      </c>
    </row>
    <row r="52" spans="1:22" x14ac:dyDescent="0.2">
      <c r="A52" s="72" t="s">
        <v>51</v>
      </c>
      <c r="B52" s="89">
        <v>44682</v>
      </c>
      <c r="C52" s="47" t="s">
        <v>381</v>
      </c>
      <c r="D52" s="47" t="s">
        <v>382</v>
      </c>
      <c r="E52" s="109">
        <f ca="1"/>
        <v>84.61</v>
      </c>
      <c r="F52" s="109">
        <f ca="1"/>
        <v>84.868085250025686</v>
      </c>
      <c r="G52" s="109">
        <f t="shared" ca="1" si="35"/>
        <v>85.126170500051373</v>
      </c>
      <c r="H52" s="109">
        <f ca="1">_xll.qlBondYieldFromCleanPrice(N52,E52,YieldDayCounter,YieldCompounding,YieldFrequency)*100</f>
        <v>2.2445414405688648</v>
      </c>
      <c r="I52" s="109">
        <f ca="1">_xll.qlBondYieldFromCleanPrice(O52,F52,YieldDayCounter,YieldCompounding,YieldFrequency)*100</f>
        <v>2.2031883091107018</v>
      </c>
      <c r="J52" s="109">
        <f ca="1">_xll.qlBondYieldFromCleanPrice(P52,G52,YieldDayCounter,YieldCompounding,YieldFrequency)*100</f>
        <v>2.1619773858413107</v>
      </c>
      <c r="K52" s="109">
        <f ca="1">_xll.qlBondDurationFromYield(O52,I52,YieldDayCounter,YieldCompounding,YieldFrequency,K$2)</f>
        <v>2.3503979150629069</v>
      </c>
      <c r="L52" s="109">
        <f ca="1">_xll.qlBondConvexityFromYield(O52,I52/100,YieldDayCounter,YieldCompounding,YieldFrequency)</f>
        <v>61.472550417726254</v>
      </c>
      <c r="M52" s="109" t="e">
        <f t="shared" ca="1" si="3"/>
        <v>#NAME?</v>
      </c>
      <c r="N52" s="109" t="str">
        <f>_xll.qlZeroCouponBond(,,"EUR",3,"target",100,$B52,"f",100,,,Trigger)</f>
        <v>obj_003b7#0001</v>
      </c>
      <c r="O52" s="109" t="str">
        <f>_xll.qlZeroCouponBond(,,"EUR",3,"target",100,$B52,"f",100,,,Trigger)</f>
        <v>obj_0025c#0001</v>
      </c>
      <c r="P52" s="109" t="str">
        <f>_xll.qlZeroCouponBond(,,"EUR",3,"target",100,$B52,"f",100,,,Trigger)</f>
        <v>obj_00280#0001</v>
      </c>
      <c r="Q52" s="109">
        <f t="shared" ca="1" si="36"/>
        <v>84.61</v>
      </c>
      <c r="R52" s="109">
        <f t="shared" ref="R52" ca="1" si="54">Q52</f>
        <v>84.61</v>
      </c>
      <c r="S52" s="33" t="str">
        <f>IF(UPPER(S$1)="ABCD",_xll.RtContribute($D$3,$D52,$Q$3:$R$3,$Q52:$R52,"SCOPE:SERVER"),"--")</f>
        <v>--</v>
      </c>
      <c r="T52" s="33" t="str">
        <f t="shared" si="38"/>
        <v>EUR.PRICING.XLS_STRIPS.IT0001247292</v>
      </c>
      <c r="U52" s="33" t="str">
        <f>IF(UPPER($V$1)="ABCD",MKV_PUBLISHRECORD(T52, "XLS_STRIPS"),"--")</f>
        <v>--</v>
      </c>
      <c r="V52" s="33" t="str">
        <f>IF(UPPER(V$1)="ABCD",MKV_SUPPLYRECORD(T52, "Bid",E52, "Ask",G52, "Id",A52, "Mid",F52, "Name",C52,"DV01",M52,"MidYield",I52,"BidYield",H52,"AskYield",J52),"--")</f>
        <v>--</v>
      </c>
    </row>
    <row r="53" spans="1:22" x14ac:dyDescent="0.2">
      <c r="A53" s="72" t="s">
        <v>52</v>
      </c>
      <c r="B53" s="89">
        <v>44774</v>
      </c>
      <c r="C53" s="47" t="s">
        <v>383</v>
      </c>
      <c r="D53" s="47" t="s">
        <v>384</v>
      </c>
      <c r="E53" s="109">
        <f ca="1"/>
        <v>83.58</v>
      </c>
      <c r="F53" s="109">
        <f ca="1"/>
        <v>83.843254272205826</v>
      </c>
      <c r="G53" s="109">
        <f t="shared" ca="1" si="35"/>
        <v>84.106508544411653</v>
      </c>
      <c r="H53" s="109">
        <f ca="1">_xll.qlBondYieldFromCleanPrice(N53,E53,YieldDayCounter,YieldCompounding,YieldFrequency)*100</f>
        <v>2.3328378607275968</v>
      </c>
      <c r="I53" s="109">
        <f ca="1">_xll.qlBondYieldFromCleanPrice(O53,F53,YieldDayCounter,YieldCompounding,YieldFrequency)*100</f>
        <v>2.2914717545732861</v>
      </c>
      <c r="J53" s="109">
        <f ca="1">_xll.qlBondYieldFromCleanPrice(P53,G53,YieldDayCounter,YieldCompounding,YieldFrequency)*100</f>
        <v>2.2502519543096429</v>
      </c>
      <c r="K53" s="109">
        <f ca="1">_xll.qlBondDurationFromYield(O53,I53,YieldDayCounter,YieldCompounding,YieldFrequency,K$2)</f>
        <v>2.3631016067428443</v>
      </c>
      <c r="L53" s="109">
        <f ca="1">_xll.qlBondConvexityFromYield(O53,I53/100,YieldDayCounter,YieldCompounding,YieldFrequency)</f>
        <v>65.251923234276987</v>
      </c>
      <c r="M53" s="109" t="e">
        <f t="shared" ca="1" si="3"/>
        <v>#NAME?</v>
      </c>
      <c r="N53" s="109" t="str">
        <f>_xll.qlZeroCouponBond(,,"EUR",3,"target",100,$B53,"f",100,,,Trigger)</f>
        <v>obj_00317#0001</v>
      </c>
      <c r="O53" s="109" t="str">
        <f>_xll.qlZeroCouponBond(,,"EUR",3,"target",100,$B53,"f",100,,,Trigger)</f>
        <v>obj_00322#0001</v>
      </c>
      <c r="P53" s="109" t="str">
        <f>_xll.qlZeroCouponBond(,,"EUR",3,"target",100,$B53,"f",100,,,Trigger)</f>
        <v>obj_002d3#0001</v>
      </c>
      <c r="Q53" s="109">
        <f t="shared" ca="1" si="36"/>
        <v>83.58</v>
      </c>
      <c r="R53" s="109">
        <f t="shared" ref="R53" ca="1" si="55">Q53</f>
        <v>83.58</v>
      </c>
      <c r="S53" s="33" t="str">
        <f>IF(UPPER(S$1)="ABCD",_xll.RtContribute($D$3,$D53,$Q$3:$R$3,$Q53:$R53,"SCOPE:SERVER"),"--")</f>
        <v>--</v>
      </c>
      <c r="T53" s="33" t="str">
        <f t="shared" si="38"/>
        <v>EUR.PRICING.XLS_STRIPS.IT0003268742</v>
      </c>
      <c r="U53" s="33" t="str">
        <f>IF(UPPER($V$1)="ABCD",MKV_PUBLISHRECORD(T53, "XLS_STRIPS"),"--")</f>
        <v>--</v>
      </c>
      <c r="V53" s="33" t="str">
        <f>IF(UPPER(V$1)="ABCD",MKV_SUPPLYRECORD(T53, "Bid",E53, "Ask",G53, "Id",A53, "Mid",F53, "Name",C53,"DV01",M53,"MidYield",I53,"BidYield",H53,"AskYield",J53),"--")</f>
        <v>--</v>
      </c>
    </row>
    <row r="54" spans="1:22" x14ac:dyDescent="0.2">
      <c r="A54" s="72" t="s">
        <v>168</v>
      </c>
      <c r="B54" s="89">
        <v>44805</v>
      </c>
      <c r="C54" s="47" t="s">
        <v>169</v>
      </c>
      <c r="D54" s="47" t="s">
        <v>170</v>
      </c>
      <c r="E54" s="109">
        <f ca="1"/>
        <v>83.18</v>
      </c>
      <c r="F54" s="109">
        <f ca="1"/>
        <v>83.442537323023743</v>
      </c>
      <c r="G54" s="109">
        <f t="shared" ca="1" si="35"/>
        <v>83.705074646047478</v>
      </c>
      <c r="H54" s="109">
        <f ca="1">_xll.qlBondYieldFromCleanPrice(N54,E54,YieldDayCounter,YieldCompounding,YieldFrequency)*100</f>
        <v>2.3697895211353899</v>
      </c>
      <c r="I54" s="109">
        <f ca="1">_xll.qlBondYieldFromCleanPrice(O54,F54,YieldDayCounter,YieldCompounding,YieldFrequency)*100</f>
        <v>2.3287706683203577</v>
      </c>
      <c r="J54" s="109">
        <f ca="1">_xll.qlBondYieldFromCleanPrice(P54,G54,YieldDayCounter,YieldCompounding,YieldFrequency)*100</f>
        <v>2.2878970456495886</v>
      </c>
      <c r="K54" s="109">
        <f ca="1">_xll.qlBondDurationFromYield(O54,I54,YieldDayCounter,YieldCompounding,YieldFrequency,K$2)</f>
        <v>2.3621374020931527</v>
      </c>
      <c r="L54" s="109">
        <f ca="1">_xll.qlBondConvexityFromYield(O54,I54/100,YieldDayCounter,YieldCompounding,YieldFrequency)</f>
        <v>66.554119067665582</v>
      </c>
      <c r="M54" s="109" t="e">
        <f t="shared" ca="1" si="3"/>
        <v>#NAME?</v>
      </c>
      <c r="N54" s="109" t="str">
        <f>_xll.qlZeroCouponBond(,,"EUR",3,"target",100,$B54,"f",100,,,Trigger)</f>
        <v>obj_0033b#0001</v>
      </c>
      <c r="O54" s="109" t="str">
        <f>_xll.qlZeroCouponBond(,,"EUR",3,"target",100,$B54,"f",100,,,Trigger)</f>
        <v>obj_00345#0001</v>
      </c>
      <c r="P54" s="109" t="str">
        <f>_xll.qlZeroCouponBond(,,"EUR",3,"target",100,$B54,"f",100,,,Trigger)</f>
        <v>obj_003bc#0001</v>
      </c>
      <c r="Q54" s="109">
        <f t="shared" ca="1" si="36"/>
        <v>83.18</v>
      </c>
      <c r="R54" s="109">
        <f t="shared" ref="R54" ca="1" si="56">Q54</f>
        <v>83.18</v>
      </c>
      <c r="S54" s="33" t="str">
        <f>IF(UPPER(S$1)="ABCD",_xll.RtContribute($D$3,$D54,$Q$3:$R$3,$Q54:$R54,"SCOPE:SERVER"),"--")</f>
        <v>--</v>
      </c>
      <c r="T54" s="33" t="str">
        <f t="shared" si="38"/>
        <v>EUR.PRICING.XLS_STRIPS.IT0004957913</v>
      </c>
      <c r="U54" s="33" t="str">
        <f>IF(UPPER($V$1)="ABCD",MKV_PUBLISHRECORD(T54, "XLS_STRIPS"),"--")</f>
        <v>--</v>
      </c>
      <c r="V54" s="33" t="str">
        <f>IF(UPPER(V$1)="ABCD",MKV_SUPPLYRECORD(T54, "Bid",E54, "Ask",G54, "Id",A54, "Mid",F54, "Name",C54,"DV01",M54,"MidYield",I54,"BidYield",H54,"AskYield",J54),"--")</f>
        <v>--</v>
      </c>
    </row>
    <row r="55" spans="1:22" x14ac:dyDescent="0.2">
      <c r="A55" s="72" t="s">
        <v>385</v>
      </c>
      <c r="B55" s="89">
        <v>44866</v>
      </c>
      <c r="C55" s="47" t="s">
        <v>386</v>
      </c>
      <c r="D55" s="47" t="s">
        <v>387</v>
      </c>
      <c r="E55" s="109">
        <f ca="1"/>
        <v>82.36</v>
      </c>
      <c r="F55" s="109">
        <f ca="1"/>
        <v>82.628222177455456</v>
      </c>
      <c r="G55" s="109">
        <f t="shared" ca="1" si="35"/>
        <v>82.896444354910912</v>
      </c>
      <c r="H55" s="109">
        <f ca="1">_xll.qlBondYieldFromCleanPrice(N55,E55,YieldDayCounter,YieldCompounding,YieldFrequency)*100</f>
        <v>2.446215203590691</v>
      </c>
      <c r="I55" s="109">
        <f ca="1">_xll.qlBondYieldFromCleanPrice(O55,F55,YieldDayCounter,YieldCompounding,YieldFrequency)*100</f>
        <v>2.4047429944947365</v>
      </c>
      <c r="J55" s="109">
        <f ca="1">_xll.qlBondYieldFromCleanPrice(P55,G55,YieldDayCounter,YieldCompounding,YieldFrequency)*100</f>
        <v>2.3634218957647684</v>
      </c>
      <c r="K55" s="109">
        <f ca="1">_xll.qlBondDurationFromYield(O55,I55,YieldDayCounter,YieldCompounding,YieldFrequency,K$2)</f>
        <v>2.3585148715440831</v>
      </c>
      <c r="L55" s="109">
        <f ca="1">_xll.qlBondConvexityFromYield(O55,I55/100,YieldDayCounter,YieldCompounding,YieldFrequency)</f>
        <v>69.147605982970433</v>
      </c>
      <c r="M55" s="109" t="e">
        <f t="shared" ca="1" si="3"/>
        <v>#NAME?</v>
      </c>
      <c r="N55" s="109" t="str">
        <f>_xll.qlZeroCouponBond(,,"EUR",3,"target",100,$B55,"f",100,,,Trigger)</f>
        <v>obj_003ad#0001</v>
      </c>
      <c r="O55" s="109" t="str">
        <f>_xll.qlZeroCouponBond(,,"EUR",3,"target",100,$B55,"f",100,,,Trigger)</f>
        <v>obj_002d6#0001</v>
      </c>
      <c r="P55" s="109" t="str">
        <f>_xll.qlZeroCouponBond(,,"EUR",3,"target",100,$B55,"f",100,,,Trigger)</f>
        <v>obj_00337#0001</v>
      </c>
      <c r="Q55" s="109">
        <f t="shared" ca="1" si="36"/>
        <v>82.36</v>
      </c>
      <c r="R55" s="109">
        <f t="shared" ref="R55" ca="1" si="57">Q55</f>
        <v>82.36</v>
      </c>
      <c r="S55" s="33" t="str">
        <f>IF(UPPER(S$1)="ABCD",_xll.RtContribute($D$3,$D55,$Q$3:$R$3,$Q55:$R55,"SCOPE:SERVER"),"--")</f>
        <v>--</v>
      </c>
      <c r="T55" s="33" t="str">
        <f t="shared" si="38"/>
        <v>EUR.PRICING.XLS_STRIPS.IT0004869324</v>
      </c>
      <c r="U55" s="33" t="str">
        <f>IF(UPPER($V$1)="ABCD",MKV_PUBLISHRECORD(T55, "XLS_STRIPS"),"--")</f>
        <v>--</v>
      </c>
      <c r="V55" s="33" t="str">
        <f>IF(UPPER(V$1)="ABCD",MKV_SUPPLYRECORD(T55, "Bid",E55, "Ask",G55, "Id",A55, "Mid",F55, "Name",C55,"DV01",M55,"MidYield",I55,"BidYield",H55,"AskYield",J55),"--")</f>
        <v>--</v>
      </c>
    </row>
    <row r="56" spans="1:22" x14ac:dyDescent="0.2">
      <c r="A56" s="72" t="s">
        <v>53</v>
      </c>
      <c r="B56" s="89">
        <v>44958</v>
      </c>
      <c r="C56" s="47" t="s">
        <v>388</v>
      </c>
      <c r="D56" s="47" t="s">
        <v>389</v>
      </c>
      <c r="E56" s="109">
        <f ca="1"/>
        <v>81.53</v>
      </c>
      <c r="F56" s="109">
        <f ca="1"/>
        <v>81.806676079838653</v>
      </c>
      <c r="G56" s="109">
        <f t="shared" ca="1" si="35"/>
        <v>82.083352159677304</v>
      </c>
      <c r="H56" s="109">
        <f ca="1">_xll.qlBondYieldFromCleanPrice(N56,E56,YieldDayCounter,YieldCompounding,YieldFrequency)*100</f>
        <v>2.4961657858267436</v>
      </c>
      <c r="I56" s="109">
        <f ca="1">_xll.qlBondYieldFromCleanPrice(O56,F56,YieldDayCounter,YieldCompounding,YieldFrequency)*100</f>
        <v>2.4542486189678319</v>
      </c>
      <c r="J56" s="109">
        <f ca="1">_xll.qlBondYieldFromCleanPrice(P56,G56,YieldDayCounter,YieldCompounding,YieldFrequency)*100</f>
        <v>2.412490047395679</v>
      </c>
      <c r="K56" s="109">
        <f ca="1">_xll.qlBondDurationFromYield(O56,I56,YieldDayCounter,YieldCompounding,YieldFrequency,K$2)</f>
        <v>2.3976825916186457</v>
      </c>
      <c r="L56" s="109">
        <f ca="1">_xll.qlBondConvexityFromYield(O56,I56/100,YieldDayCounter,YieldCompounding,YieldFrequency)</f>
        <v>73.237898596222664</v>
      </c>
      <c r="M56" s="109" t="e">
        <f t="shared" ca="1" si="3"/>
        <v>#NAME?</v>
      </c>
      <c r="N56" s="109" t="str">
        <f>_xll.qlZeroCouponBond(,,"EUR",3,"target",100,$B56,"f",100,,,Trigger)</f>
        <v>obj_002ba#0001</v>
      </c>
      <c r="O56" s="109" t="str">
        <f>_xll.qlZeroCouponBond(,,"EUR",3,"target",100,$B56,"f",100,,,Trigger)</f>
        <v>obj_00273#0001</v>
      </c>
      <c r="P56" s="109" t="str">
        <f>_xll.qlZeroCouponBond(,,"EUR",3,"target",100,$B56,"f",100,,,Trigger)</f>
        <v>obj_002e1#0001</v>
      </c>
      <c r="Q56" s="109">
        <f t="shared" ca="1" si="36"/>
        <v>81.53</v>
      </c>
      <c r="R56" s="109">
        <f t="shared" ref="R56" ca="1" si="58">Q56</f>
        <v>81.53</v>
      </c>
      <c r="S56" s="33" t="str">
        <f>IF(UPPER(S$1)="ABCD",_xll.RtContribute($D$3,$D56,$Q$3:$R$3,$Q56:$R56,"SCOPE:SERVER"),"--")</f>
        <v>--</v>
      </c>
      <c r="T56" s="33" t="str">
        <f t="shared" si="38"/>
        <v>EUR.PRICING.XLS_STRIPS.IT0003268775</v>
      </c>
      <c r="U56" s="33" t="str">
        <f>IF(UPPER($V$1)="ABCD",MKV_PUBLISHRECORD(T56, "XLS_STRIPS"),"--")</f>
        <v>--</v>
      </c>
      <c r="V56" s="33" t="str">
        <f>IF(UPPER(V$1)="ABCD",MKV_SUPPLYRECORD(T56, "Bid",E56, "Ask",G56, "Id",A56, "Mid",F56, "Name",C56,"DV01",M56,"MidYield",I56,"BidYield",H56,"AskYield",J56),"--")</f>
        <v>--</v>
      </c>
    </row>
    <row r="57" spans="1:22" x14ac:dyDescent="0.2">
      <c r="A57" s="72" t="s">
        <v>171</v>
      </c>
      <c r="B57" s="89">
        <v>44986</v>
      </c>
      <c r="C57" s="47" t="s">
        <v>172</v>
      </c>
      <c r="D57" s="47" t="s">
        <v>173</v>
      </c>
      <c r="E57" s="109">
        <f ca="1"/>
        <v>81.349999999999994</v>
      </c>
      <c r="F57" s="109">
        <f ca="1"/>
        <v>81.631457243406786</v>
      </c>
      <c r="G57" s="109">
        <f t="shared" ca="1" si="35"/>
        <v>81.912914486813577</v>
      </c>
      <c r="H57" s="109">
        <f ca="1">_xll.qlBondYieldFromCleanPrice(N57,E57,YieldDayCounter,YieldCompounding,YieldFrequency)*100</f>
        <v>2.5000756731689493</v>
      </c>
      <c r="I57" s="109">
        <f ca="1">_xll.qlBondYieldFromCleanPrice(O57,F57,YieldDayCounter,YieldCompounding,YieldFrequency)*100</f>
        <v>2.4577318744790544</v>
      </c>
      <c r="J57" s="109">
        <f ca="1">_xll.qlBondYieldFromCleanPrice(P57,G57,YieldDayCounter,YieldCompounding,YieldFrequency)*100</f>
        <v>2.4155512323603037</v>
      </c>
      <c r="K57" s="109">
        <f ca="1">_xll.qlBondDurationFromYield(O57,I57,YieldDayCounter,YieldCompounding,YieldFrequency,K$2)</f>
        <v>2.4174529469114501</v>
      </c>
      <c r="L57" s="109">
        <f ca="1">_xll.qlBondConvexityFromYield(O57,I57/100,YieldDayCounter,YieldCompounding,YieldFrequency)</f>
        <v>74.522062410973234</v>
      </c>
      <c r="M57" s="109" t="e">
        <f t="shared" ca="1" si="3"/>
        <v>#NAME?</v>
      </c>
      <c r="N57" s="109" t="str">
        <f>_xll.qlZeroCouponBond(,,"EUR",3,"target",100,$B57,"f",100,,,Trigger)</f>
        <v>obj_00397#0001</v>
      </c>
      <c r="O57" s="109" t="str">
        <f>_xll.qlZeroCouponBond(,,"EUR",3,"target",100,$B57,"f",100,,,Trigger)</f>
        <v>obj_00352#0001</v>
      </c>
      <c r="P57" s="109" t="str">
        <f>_xll.qlZeroCouponBond(,,"EUR",3,"target",100,$B57,"f",100,,,Trigger)</f>
        <v>obj_0030b#0001</v>
      </c>
      <c r="Q57" s="109">
        <f t="shared" ca="1" si="36"/>
        <v>81.349999999999994</v>
      </c>
      <c r="R57" s="109">
        <f t="shared" ref="R57" ca="1" si="59">Q57</f>
        <v>81.349999999999994</v>
      </c>
      <c r="S57" s="33" t="str">
        <f>IF(UPPER(S$1)="ABCD",_xll.RtContribute($D$3,$D57,$Q$3:$R$3,$Q57:$R57,"SCOPE:SERVER"),"--")</f>
        <v>--</v>
      </c>
      <c r="T57" s="33" t="str">
        <f t="shared" si="38"/>
        <v>EUR.PRICING.XLS_STRIPS.IT0004957921</v>
      </c>
      <c r="U57" s="33" t="str">
        <f>IF(UPPER($V$1)="ABCD",MKV_PUBLISHRECORD(T57, "XLS_STRIPS"),"--")</f>
        <v>--</v>
      </c>
      <c r="V57" s="33" t="str">
        <f>IF(UPPER(V$1)="ABCD",MKV_SUPPLYRECORD(T57, "Bid",E57, "Ask",G57, "Id",A57, "Mid",F57, "Name",C57,"DV01",M57,"MidYield",I57,"BidYield",H57,"AskYield",J57),"--")</f>
        <v>--</v>
      </c>
    </row>
    <row r="58" spans="1:22" x14ac:dyDescent="0.2">
      <c r="A58" s="72" t="s">
        <v>54</v>
      </c>
      <c r="B58" s="89">
        <v>45047</v>
      </c>
      <c r="C58" s="47" t="s">
        <v>390</v>
      </c>
      <c r="D58" s="47" t="s">
        <v>391</v>
      </c>
      <c r="E58" s="109">
        <f ca="1"/>
        <v>81</v>
      </c>
      <c r="F58" s="109">
        <f ca="1"/>
        <v>81.281618504970965</v>
      </c>
      <c r="G58" s="109">
        <f t="shared" ca="1" si="35"/>
        <v>81.563237009941929</v>
      </c>
      <c r="H58" s="109">
        <f ca="1">_xll.qlBondYieldFromCleanPrice(N58,E58,YieldDayCounter,YieldCompounding,YieldFrequency)*100</f>
        <v>2.5014841132600405</v>
      </c>
      <c r="I58" s="109">
        <f ca="1">_xll.qlBondYieldFromCleanPrice(O58,F58,YieldDayCounter,YieldCompounding,YieldFrequency)*100</f>
        <v>2.4597801000849997</v>
      </c>
      <c r="J58" s="109">
        <f ca="1">_xll.qlBondYieldFromCleanPrice(P58,G58,YieldDayCounter,YieldCompounding,YieldFrequency)*100</f>
        <v>2.4182372219488033</v>
      </c>
      <c r="K58" s="109">
        <f ca="1">_xll.qlBondDurationFromYield(O58,I58,YieldDayCounter,YieldCompounding,YieldFrequency,K$2)</f>
        <v>2.465118266643056</v>
      </c>
      <c r="L58" s="109">
        <f ca="1">_xll.qlBondConvexityFromYield(O58,I58/100,YieldDayCounter,YieldCompounding,YieldFrequency)</f>
        <v>77.413397935282319</v>
      </c>
      <c r="M58" s="109" t="e">
        <f t="shared" ca="1" si="3"/>
        <v>#NAME?</v>
      </c>
      <c r="N58" s="109" t="str">
        <f>_xll.qlZeroCouponBond(,,"EUR",3,"target",100,$B58,"f",100,,,Trigger)</f>
        <v>obj_00394#0001</v>
      </c>
      <c r="O58" s="109" t="str">
        <f>_xll.qlZeroCouponBond(,,"EUR",3,"target",100,$B58,"f",100,,,Trigger)</f>
        <v>obj_003a9#0001</v>
      </c>
      <c r="P58" s="109" t="str">
        <f>_xll.qlZeroCouponBond(,,"EUR",3,"target",100,$B58,"f",100,,,Trigger)</f>
        <v>obj_0035e#0001</v>
      </c>
      <c r="Q58" s="109">
        <f t="shared" ca="1" si="36"/>
        <v>81</v>
      </c>
      <c r="R58" s="109">
        <f t="shared" ref="R58" ca="1" si="60">Q58</f>
        <v>81</v>
      </c>
      <c r="S58" s="33" t="str">
        <f>IF(UPPER(S$1)="ABCD",_xll.RtContribute($D$3,$D58,$Q$3:$R$3,$Q58:$R58,"SCOPE:SERVER"),"--")</f>
        <v>--</v>
      </c>
      <c r="T58" s="33" t="str">
        <f t="shared" si="38"/>
        <v>EUR.PRICING.XLS_STRIPS.IT0001247318</v>
      </c>
      <c r="U58" s="33" t="str">
        <f>IF(UPPER($V$1)="ABCD",MKV_PUBLISHRECORD(T58, "XLS_STRIPS"),"--")</f>
        <v>--</v>
      </c>
      <c r="V58" s="33" t="str">
        <f>IF(UPPER(V$1)="ABCD",MKV_SUPPLYRECORD(T58, "Bid",E58, "Ask",G58, "Id",A58, "Mid",F58, "Name",C58,"DV01",M58,"MidYield",I58,"BidYield",H58,"AskYield",J58),"--")</f>
        <v>--</v>
      </c>
    </row>
    <row r="59" spans="1:22" x14ac:dyDescent="0.2">
      <c r="A59" s="72" t="s">
        <v>392</v>
      </c>
      <c r="B59" s="89">
        <v>45139</v>
      </c>
      <c r="C59" s="47" t="s">
        <v>393</v>
      </c>
      <c r="D59" s="47" t="s">
        <v>394</v>
      </c>
      <c r="E59" s="109">
        <f ca="1"/>
        <v>80.3</v>
      </c>
      <c r="F59" s="109">
        <f ca="1"/>
        <v>80.591841542266025</v>
      </c>
      <c r="G59" s="109">
        <f t="shared" ca="1" si="35"/>
        <v>80.883683084532052</v>
      </c>
      <c r="H59" s="109">
        <f ca="1">_xll.qlBondYieldFromCleanPrice(N59,E59,YieldDayCounter,YieldCompounding,YieldFrequency)*100</f>
        <v>2.5309106343022432</v>
      </c>
      <c r="I59" s="109">
        <f ca="1">_xll.qlBondYieldFromCleanPrice(O59,F59,YieldDayCounter,YieldCompounding,YieldFrequency)*100</f>
        <v>2.4885454577357122</v>
      </c>
      <c r="J59" s="109">
        <f ca="1">_xll.qlBondYieldFromCleanPrice(P59,G59,YieldDayCounter,YieldCompounding,YieldFrequency)*100</f>
        <v>2.4463508353473227</v>
      </c>
      <c r="K59" s="109">
        <f ca="1">_xll.qlBondDurationFromYield(O59,I59,YieldDayCounter,YieldCompounding,YieldFrequency,K$2)</f>
        <v>2.5162585089197473</v>
      </c>
      <c r="L59" s="109">
        <f ca="1">_xll.qlBondConvexityFromYield(O59,I59/100,YieldDayCounter,YieldCompounding,YieldFrequency)</f>
        <v>81.715166007518064</v>
      </c>
      <c r="M59" s="109" t="e">
        <f t="shared" ca="1" si="3"/>
        <v>#NAME?</v>
      </c>
      <c r="N59" s="109" t="str">
        <f>_xll.qlZeroCouponBond(,,"EUR",3,"target",100,$B59,"f",100,,,Trigger)</f>
        <v>obj_00277#0001</v>
      </c>
      <c r="O59" s="109" t="str">
        <f>_xll.qlZeroCouponBond(,,"EUR",3,"target",100,$B59,"f",100,,,Trigger)</f>
        <v>obj_0032b#0001</v>
      </c>
      <c r="P59" s="109" t="str">
        <f>_xll.qlZeroCouponBond(,,"EUR",3,"target",100,$B59,"f",100,,,Trigger)</f>
        <v>obj_0022e#0001</v>
      </c>
      <c r="Q59" s="109">
        <f t="shared" ca="1" si="36"/>
        <v>80.3</v>
      </c>
      <c r="R59" s="109">
        <f t="shared" ref="R59" ca="1" si="61">Q59</f>
        <v>80.3</v>
      </c>
      <c r="S59" s="33" t="str">
        <f>IF(UPPER(S$1)="ABCD",_xll.RtContribute($D$3,$D59,$Q$3:$R$3,$Q59:$R59,"SCOPE:SERVER"),"--")</f>
        <v>--</v>
      </c>
      <c r="T59" s="33" t="str">
        <f t="shared" si="38"/>
        <v>EUR.PRICING.XLS_STRIPS.IT0004848708</v>
      </c>
      <c r="U59" s="33" t="str">
        <f>IF(UPPER($V$1)="ABCD",MKV_PUBLISHRECORD(T59, "XLS_STRIPS"),"--")</f>
        <v>--</v>
      </c>
      <c r="V59" s="33" t="str">
        <f>IF(UPPER(V$1)="ABCD",MKV_SUPPLYRECORD(T59, "Bid",E59, "Ask",G59, "Id",A59, "Mid",F59, "Name",C59,"DV01",M59,"MidYield",I59,"BidYield",H59,"AskYield",J59),"--")</f>
        <v>--</v>
      </c>
    </row>
    <row r="60" spans="1:22" x14ac:dyDescent="0.2">
      <c r="A60" s="72" t="s">
        <v>174</v>
      </c>
      <c r="B60" s="89">
        <v>45170</v>
      </c>
      <c r="C60" s="47" t="s">
        <v>175</v>
      </c>
      <c r="D60" s="47" t="s">
        <v>176</v>
      </c>
      <c r="E60" s="109">
        <f ca="1"/>
        <v>79.959999999999994</v>
      </c>
      <c r="F60" s="109">
        <f ca="1"/>
        <v>80.251894096475681</v>
      </c>
      <c r="G60" s="109">
        <f t="shared" ca="1" si="35"/>
        <v>80.543788192951368</v>
      </c>
      <c r="H60" s="109">
        <f ca="1">_xll.qlBondYieldFromCleanPrice(N60,E60,YieldDayCounter,YieldCompounding,YieldFrequency)*100</f>
        <v>2.5554422989860179</v>
      </c>
      <c r="I60" s="109">
        <f ca="1">_xll.qlBondYieldFromCleanPrice(O60,F60,YieldDayCounter,YieldCompounding,YieldFrequency)*100</f>
        <v>2.5132873042300345</v>
      </c>
      <c r="J60" s="109">
        <f ca="1">_xll.qlBondYieldFromCleanPrice(P60,G60,YieldDayCounter,YieldCompounding,YieldFrequency)*100</f>
        <v>2.4713025887852016</v>
      </c>
      <c r="K60" s="109">
        <f ca="1">_xll.qlBondDurationFromYield(O60,I60,YieldDayCounter,YieldCompounding,YieldFrequency,K$2)</f>
        <v>2.5227124715815235</v>
      </c>
      <c r="L60" s="109">
        <f ca="1">_xll.qlBondConvexityFromYield(O60,I60/100,YieldDayCounter,YieldCompounding,YieldFrequency)</f>
        <v>83.182263944944125</v>
      </c>
      <c r="M60" s="109" t="e">
        <f t="shared" ca="1" si="3"/>
        <v>#NAME?</v>
      </c>
      <c r="N60" s="109" t="str">
        <f>_xll.qlZeroCouponBond(,,"EUR",3,"target",100,$B60,"f",100,,,Trigger)</f>
        <v>obj_00254#0001</v>
      </c>
      <c r="O60" s="109" t="str">
        <f>_xll.qlZeroCouponBond(,,"EUR",3,"target",100,$B60,"f",100,,,Trigger)</f>
        <v>obj_00279#0001</v>
      </c>
      <c r="P60" s="109" t="str">
        <f>_xll.qlZeroCouponBond(,,"EUR",3,"target",100,$B60,"f",100,,,Trigger)</f>
        <v>obj_00318#0001</v>
      </c>
      <c r="Q60" s="109">
        <f t="shared" ca="1" si="36"/>
        <v>79.959999999999994</v>
      </c>
      <c r="R60" s="109">
        <f t="shared" ref="R60" ca="1" si="62">Q60</f>
        <v>79.959999999999994</v>
      </c>
      <c r="S60" s="33" t="str">
        <f>IF(UPPER(S$1)="ABCD",_xll.RtContribute($D$3,$D60,$Q$3:$R$3,$Q60:$R60,"SCOPE:SERVER"),"--")</f>
        <v>--</v>
      </c>
      <c r="T60" s="33" t="str">
        <f t="shared" si="38"/>
        <v>EUR.PRICING.XLS_STRIPS.IT0004957939</v>
      </c>
      <c r="U60" s="33" t="str">
        <f>IF(UPPER($V$1)="ABCD",MKV_PUBLISHRECORD(T60, "XLS_STRIPS"),"--")</f>
        <v>--</v>
      </c>
      <c r="V60" s="33" t="str">
        <f>IF(UPPER(V$1)="ABCD",MKV_SUPPLYRECORD(T60, "Bid",E60, "Ask",G60, "Id",A60, "Mid",F60, "Name",C60,"DV01",M60,"MidYield",I60,"BidYield",H60,"AskYield",J60),"--")</f>
        <v>--</v>
      </c>
    </row>
    <row r="61" spans="1:22" x14ac:dyDescent="0.2">
      <c r="A61" s="72" t="s">
        <v>395</v>
      </c>
      <c r="B61" s="89">
        <v>45231</v>
      </c>
      <c r="C61" s="47" t="s">
        <v>396</v>
      </c>
      <c r="D61" s="47" t="s">
        <v>397</v>
      </c>
      <c r="E61" s="109">
        <f ca="1"/>
        <v>79.290000000000006</v>
      </c>
      <c r="F61" s="109">
        <f ca="1"/>
        <v>79.582699060109903</v>
      </c>
      <c r="G61" s="109">
        <f t="shared" ca="1" si="35"/>
        <v>79.875398120219799</v>
      </c>
      <c r="H61" s="109">
        <f ca="1">_xll.qlBondYieldFromCleanPrice(N61,E61,YieldDayCounter,YieldCompounding,YieldFrequency)*100</f>
        <v>2.6031234417760354</v>
      </c>
      <c r="I61" s="109">
        <f ca="1">_xll.qlBondYieldFromCleanPrice(O61,F61,YieldDayCounter,YieldCompounding,YieldFrequency)*100</f>
        <v>2.5612652798369533</v>
      </c>
      <c r="J61" s="109">
        <f ca="1">_xll.qlBondYieldFromCleanPrice(P61,G61,YieldDayCounter,YieldCompounding,YieldFrequency)*100</f>
        <v>2.5195777690038095</v>
      </c>
      <c r="K61" s="109">
        <f ca="1">_xll.qlBondDurationFromYield(O61,I61,YieldDayCounter,YieldCompounding,YieldFrequency,K$2)</f>
        <v>2.5356541219852065</v>
      </c>
      <c r="L61" s="109">
        <f ca="1">_xll.qlBondConvexityFromYield(O61,I61/100,YieldDayCounter,YieldCompounding,YieldFrequency)</f>
        <v>86.10620780912987</v>
      </c>
      <c r="M61" s="109" t="e">
        <f t="shared" ca="1" si="3"/>
        <v>#NAME?</v>
      </c>
      <c r="N61" s="109" t="str">
        <f>_xll.qlZeroCouponBond(,,"EUR",3,"target",100,$B61,"f",100,,,Trigger)</f>
        <v>obj_00366#0001</v>
      </c>
      <c r="O61" s="109" t="str">
        <f>_xll.qlZeroCouponBond(,,"EUR",3,"target",100,$B61,"f",100,,,Trigger)</f>
        <v>obj_00249#0001</v>
      </c>
      <c r="P61" s="109" t="str">
        <f>_xll.qlZeroCouponBond(,,"EUR",3,"target",100,$B61,"f",100,,,Trigger)</f>
        <v>obj_0035c#0001</v>
      </c>
      <c r="Q61" s="109">
        <f t="shared" ca="1" si="36"/>
        <v>79.290000000000006</v>
      </c>
      <c r="R61" s="109">
        <f t="shared" ref="R61" ca="1" si="63">Q61</f>
        <v>79.290000000000006</v>
      </c>
      <c r="S61" s="33" t="str">
        <f>IF(UPPER(S$1)="ABCD",_xll.RtContribute($D$3,$D61,$Q$3:$R$3,$Q61:$R61,"SCOPE:SERVER"),"--")</f>
        <v>--</v>
      </c>
      <c r="T61" s="33" t="str">
        <f t="shared" si="38"/>
        <v>EUR.PRICING.XLS_STRIPS.IT0004848435</v>
      </c>
      <c r="U61" s="33" t="str">
        <f>IF(UPPER($V$1)="ABCD",MKV_PUBLISHRECORD(T61, "XLS_STRIPS"),"--")</f>
        <v>--</v>
      </c>
      <c r="V61" s="33" t="str">
        <f>IF(UPPER(V$1)="ABCD",MKV_SUPPLYRECORD(T61, "Bid",E61, "Ask",G61, "Id",A61, "Mid",F61, "Name",C61,"DV01",M61,"MidYield",I61,"BidYield",H61,"AskYield",J61),"--")</f>
        <v>--</v>
      </c>
    </row>
    <row r="62" spans="1:22" x14ac:dyDescent="0.2">
      <c r="A62" s="72" t="s">
        <v>55</v>
      </c>
      <c r="B62" s="89">
        <v>45323</v>
      </c>
      <c r="C62" s="47" t="s">
        <v>398</v>
      </c>
      <c r="D62" s="47" t="s">
        <v>399</v>
      </c>
      <c r="E62" s="109">
        <f ca="1"/>
        <v>78.61</v>
      </c>
      <c r="F62" s="109">
        <f ca="1"/>
        <v>78.905222580144454</v>
      </c>
      <c r="G62" s="109">
        <f t="shared" ca="1" si="35"/>
        <v>79.200445160288908</v>
      </c>
      <c r="H62" s="109">
        <f ca="1">_xll.qlBondYieldFromCleanPrice(N62,E62,YieldDayCounter,YieldCompounding,YieldFrequency)*100</f>
        <v>2.6267341999478826</v>
      </c>
      <c r="I62" s="109">
        <f ca="1">_xll.qlBondYieldFromCleanPrice(O62,F62,YieldDayCounter,YieldCompounding,YieldFrequency)*100</f>
        <v>2.5852980118891407</v>
      </c>
      <c r="J62" s="109">
        <f ca="1">_xll.qlBondYieldFromCleanPrice(P62,G62,YieldDayCounter,YieldCompounding,YieldFrequency)*100</f>
        <v>2.5440332012862839</v>
      </c>
      <c r="K62" s="109">
        <f ca="1">_xll.qlBondDurationFromYield(O62,I62,YieldDayCounter,YieldCompounding,YieldFrequency,K$2)</f>
        <v>2.5889596206623304</v>
      </c>
      <c r="L62" s="109">
        <f ca="1">_xll.qlBondConvexityFromYield(O62,I62/100,YieldDayCounter,YieldCompounding,YieldFrequency)</f>
        <v>90.691375395267002</v>
      </c>
      <c r="M62" s="109" t="e">
        <f t="shared" ca="1" si="3"/>
        <v>#NAME?</v>
      </c>
      <c r="N62" s="109" t="str">
        <f>_xll.qlZeroCouponBond(,,"EUR",3,"target",100,$B62,"f",100,,,Trigger)</f>
        <v>obj_00330#0001</v>
      </c>
      <c r="O62" s="109" t="str">
        <f>_xll.qlZeroCouponBond(,,"EUR",3,"target",100,$B62,"f",100,,,Trigger)</f>
        <v>obj_00393#0001</v>
      </c>
      <c r="P62" s="109" t="str">
        <f>_xll.qlZeroCouponBond(,,"EUR",3,"target",100,$B62,"f",100,,,Trigger)</f>
        <v>obj_00223#0001</v>
      </c>
      <c r="Q62" s="109">
        <f t="shared" ca="1" si="36"/>
        <v>78.61</v>
      </c>
      <c r="R62" s="109">
        <f t="shared" ref="R62" ca="1" si="64">Q62</f>
        <v>78.61</v>
      </c>
      <c r="S62" s="33" t="str">
        <f>IF(UPPER(S$1)="ABCD",_xll.RtContribute($D$3,$D62,$Q$3:$R$3,$Q62:$R62,"SCOPE:SERVER"),"--")</f>
        <v>--</v>
      </c>
      <c r="T62" s="33" t="str">
        <f t="shared" si="38"/>
        <v>EUR.PRICING.XLS_STRIPS.IT0003268809</v>
      </c>
      <c r="U62" s="33" t="str">
        <f>IF(UPPER($V$1)="ABCD",MKV_PUBLISHRECORD(T62, "XLS_STRIPS"),"--")</f>
        <v>--</v>
      </c>
      <c r="V62" s="33" t="str">
        <f>IF(UPPER(V$1)="ABCD",MKV_SUPPLYRECORD(T62, "Bid",E62, "Ask",G62, "Id",A62, "Mid",F62, "Name",C62,"DV01",M62,"MidYield",I62,"BidYield",H62,"AskYield",J62),"--")</f>
        <v>--</v>
      </c>
    </row>
    <row r="63" spans="1:22" x14ac:dyDescent="0.2">
      <c r="A63" s="72" t="s">
        <v>177</v>
      </c>
      <c r="B63" s="89">
        <v>45352</v>
      </c>
      <c r="C63" s="47" t="s">
        <v>178</v>
      </c>
      <c r="D63" s="47" t="s">
        <v>179</v>
      </c>
      <c r="E63" s="109">
        <f ca="1"/>
        <v>78.349999999999994</v>
      </c>
      <c r="F63" s="109">
        <f ca="1"/>
        <v>78.645628490798089</v>
      </c>
      <c r="G63" s="109">
        <f t="shared" ca="1" si="35"/>
        <v>78.941256981596183</v>
      </c>
      <c r="H63" s="109">
        <f ca="1">_xll.qlBondYieldFromCleanPrice(N63,E63,YieldDayCounter,YieldCompounding,YieldFrequency)*100</f>
        <v>2.6412530167773376</v>
      </c>
      <c r="I63" s="109">
        <f ca="1">_xll.qlBondYieldFromCleanPrice(O63,F63,YieldDayCounter,YieldCompounding,YieldFrequency)*100</f>
        <v>2.599957894273103</v>
      </c>
      <c r="J63" s="109">
        <f ca="1">_xll.qlBondYieldFromCleanPrice(P63,G63,YieldDayCounter,YieldCompounding,YieldFrequency)*100</f>
        <v>2.5588342299684887</v>
      </c>
      <c r="K63" s="109">
        <f ca="1">_xll.qlBondDurationFromYield(O63,I63,YieldDayCounter,YieldCompounding,YieldFrequency,K$2)</f>
        <v>2.5997259924838021</v>
      </c>
      <c r="L63" s="109">
        <f ca="1">_xll.qlBondConvexityFromYield(O63,I63/100,YieldDayCounter,YieldCompounding,YieldFrequency)</f>
        <v>92.096779839712823</v>
      </c>
      <c r="M63" s="109" t="e">
        <f t="shared" ca="1" si="3"/>
        <v>#NAME?</v>
      </c>
      <c r="N63" s="109" t="str">
        <f>_xll.qlZeroCouponBond(,,"EUR",3,"target",100,$B63,"f",100,,,Trigger)</f>
        <v>obj_00377#0001</v>
      </c>
      <c r="O63" s="109" t="str">
        <f>_xll.qlZeroCouponBond(,,"EUR",3,"target",100,$B63,"f",100,,,Trigger)</f>
        <v>obj_00367#0001</v>
      </c>
      <c r="P63" s="109" t="str">
        <f>_xll.qlZeroCouponBond(,,"EUR",3,"target",100,$B63,"f",100,,,Trigger)</f>
        <v>obj_00363#0001</v>
      </c>
      <c r="Q63" s="109">
        <f t="shared" ca="1" si="36"/>
        <v>78.349999999999994</v>
      </c>
      <c r="R63" s="109">
        <f t="shared" ref="R63" ca="1" si="65">Q63</f>
        <v>78.349999999999994</v>
      </c>
      <c r="S63" s="33" t="str">
        <f>IF(UPPER(S$1)="ABCD",_xll.RtContribute($D$3,$D63,$Q$3:$R$3,$Q63:$R63,"SCOPE:SERVER"),"--")</f>
        <v>--</v>
      </c>
      <c r="T63" s="33" t="str">
        <f t="shared" si="38"/>
        <v>EUR.PRICING.XLS_STRIPS.IT0004957947</v>
      </c>
      <c r="U63" s="33" t="str">
        <f>IF(UPPER($V$1)="ABCD",MKV_PUBLISHRECORD(T63, "XLS_STRIPS"),"--")</f>
        <v>--</v>
      </c>
      <c r="V63" s="33" t="str">
        <f>IF(UPPER(V$1)="ABCD",MKV_SUPPLYRECORD(T63, "Bid",E63, "Ask",G63, "Id",A63, "Mid",F63, "Name",C63,"DV01",M63,"MidYield",I63,"BidYield",H63,"AskYield",J63),"--")</f>
        <v>--</v>
      </c>
    </row>
    <row r="64" spans="1:22" x14ac:dyDescent="0.2">
      <c r="A64" s="72" t="s">
        <v>56</v>
      </c>
      <c r="B64" s="89">
        <v>45413</v>
      </c>
      <c r="C64" s="47" t="s">
        <v>400</v>
      </c>
      <c r="D64" s="47" t="s">
        <v>401</v>
      </c>
      <c r="E64" s="109">
        <f ca="1"/>
        <v>77.650000000000006</v>
      </c>
      <c r="F64" s="109">
        <f ca="1"/>
        <v>77.947200855345272</v>
      </c>
      <c r="G64" s="109">
        <f t="shared" ca="1" si="35"/>
        <v>78.244401710690539</v>
      </c>
      <c r="H64" s="109">
        <f ca="1">_xll.qlBondYieldFromCleanPrice(N64,E64,YieldDayCounter,YieldCompounding,YieldFrequency)*100</f>
        <v>2.690234407521785</v>
      </c>
      <c r="I64" s="109">
        <f ca="1">_xll.qlBondYieldFromCleanPrice(O64,F64,YieldDayCounter,YieldCompounding,YieldFrequency)*100</f>
        <v>2.6490735731646424</v>
      </c>
      <c r="J64" s="109">
        <f ca="1">_xll.qlBondYieldFromCleanPrice(P64,G64,YieldDayCounter,YieldCompounding,YieldFrequency)*100</f>
        <v>2.6080857835337525</v>
      </c>
      <c r="K64" s="109">
        <f ca="1">_xll.qlBondDurationFromYield(O64,I64,YieldDayCounter,YieldCompounding,YieldFrequency,K$2)</f>
        <v>2.6112839141864415</v>
      </c>
      <c r="L64" s="109">
        <f ca="1">_xll.qlBondConvexityFromYield(O64,I64/100,YieldDayCounter,YieldCompounding,YieldFrequency)</f>
        <v>95.214735420477282</v>
      </c>
      <c r="M64" s="109" t="e">
        <f t="shared" ca="1" si="3"/>
        <v>#NAME?</v>
      </c>
      <c r="N64" s="109" t="str">
        <f>_xll.qlZeroCouponBond(,,"EUR",3,"target",100,$B64,"f",100,,,Trigger)</f>
        <v>obj_002a9#0001</v>
      </c>
      <c r="O64" s="109" t="str">
        <f>_xll.qlZeroCouponBond(,,"EUR",3,"target",100,$B64,"f",100,,,Trigger)</f>
        <v>obj_0027f#0001</v>
      </c>
      <c r="P64" s="109" t="str">
        <f>_xll.qlZeroCouponBond(,,"EUR",3,"target",100,$B64,"f",100,,,Trigger)</f>
        <v>obj_00294#0001</v>
      </c>
      <c r="Q64" s="109">
        <f t="shared" ca="1" si="36"/>
        <v>77.650000000000006</v>
      </c>
      <c r="R64" s="109">
        <f t="shared" ref="R64" ca="1" si="66">Q64</f>
        <v>77.650000000000006</v>
      </c>
      <c r="S64" s="33" t="str">
        <f>IF(UPPER(S$1)="ABCD",_xll.RtContribute($D$3,$D64,$Q$3:$R$3,$Q64:$R64,"SCOPE:SERVER"),"--")</f>
        <v>--</v>
      </c>
      <c r="T64" s="33" t="str">
        <f t="shared" si="38"/>
        <v>EUR.PRICING.XLS_STRIPS.IT0001247334</v>
      </c>
      <c r="U64" s="33" t="str">
        <f>IF(UPPER($V$1)="ABCD",MKV_PUBLISHRECORD(T64, "XLS_STRIPS"),"--")</f>
        <v>--</v>
      </c>
      <c r="V64" s="33" t="str">
        <f>IF(UPPER(V$1)="ABCD",MKV_SUPPLYRECORD(T64, "Bid",E64, "Ask",G64, "Id",A64, "Mid",F64, "Name",C64,"DV01",M64,"MidYield",I64,"BidYield",H64,"AskYield",J64),"--")</f>
        <v>--</v>
      </c>
    </row>
    <row r="65" spans="1:22" x14ac:dyDescent="0.2">
      <c r="A65" s="72" t="s">
        <v>57</v>
      </c>
      <c r="B65" s="89">
        <v>45505</v>
      </c>
      <c r="C65" s="47" t="s">
        <v>402</v>
      </c>
      <c r="D65" s="47" t="s">
        <v>403</v>
      </c>
      <c r="E65" s="109">
        <f ca="1"/>
        <v>76.790000000000006</v>
      </c>
      <c r="F65" s="109">
        <f ca="1"/>
        <v>77.0968589922376</v>
      </c>
      <c r="G65" s="109">
        <f t="shared" ca="1" si="35"/>
        <v>77.403717984475193</v>
      </c>
      <c r="H65" s="109">
        <f ca="1">_xll.qlBondYieldFromCleanPrice(N65,E65,YieldDayCounter,YieldCompounding,YieldFrequency)*100</f>
        <v>2.7377000861242418</v>
      </c>
      <c r="I65" s="109">
        <f ca="1">_xll.qlBondYieldFromCleanPrice(O65,F65,YieldDayCounter,YieldCompounding,YieldFrequency)*100</f>
        <v>2.6958057350292806</v>
      </c>
      <c r="J65" s="109">
        <f ca="1">_xll.qlBondYieldFromCleanPrice(P65,G65,YieldDayCounter,YieldCompounding,YieldFrequency)*100</f>
        <v>2.6540947788581262</v>
      </c>
      <c r="K65" s="109">
        <f ca="1">_xll.qlBondDurationFromYield(O65,I65,YieldDayCounter,YieldCompounding,YieldFrequency,K$2)</f>
        <v>2.645724070154178</v>
      </c>
      <c r="L65" s="109">
        <f ca="1">_xll.qlBondConvexityFromYield(O65,I65/100,YieldDayCounter,YieldCompounding,YieldFrequency)</f>
        <v>99.928590409013339</v>
      </c>
      <c r="M65" s="109" t="e">
        <f t="shared" ca="1" si="3"/>
        <v>#NAME?</v>
      </c>
      <c r="N65" s="109" t="str">
        <f>_xll.qlZeroCouponBond(,,"EUR",3,"target",100,$B65,"f",100,,,Trigger)</f>
        <v>obj_0027e#0001</v>
      </c>
      <c r="O65" s="109" t="str">
        <f>_xll.qlZeroCouponBond(,,"EUR",3,"target",100,$B65,"f",100,,,Trigger)</f>
        <v>obj_0025a#0001</v>
      </c>
      <c r="P65" s="109" t="str">
        <f>_xll.qlZeroCouponBond(,,"EUR",3,"target",100,$B65,"f",100,,,Trigger)</f>
        <v>obj_003aa#0001</v>
      </c>
      <c r="Q65" s="109">
        <f t="shared" ca="1" si="36"/>
        <v>76.790000000000006</v>
      </c>
      <c r="R65" s="109">
        <f t="shared" ref="R65" ca="1" si="67">Q65</f>
        <v>76.790000000000006</v>
      </c>
      <c r="S65" s="33" t="str">
        <f>IF(UPPER(S$1)="ABCD",_xll.RtContribute($D$3,$D65,$Q$3:$R$3,$Q65:$R65,"SCOPE:SERVER"),"--")</f>
        <v>--</v>
      </c>
      <c r="T65" s="33" t="str">
        <f t="shared" si="38"/>
        <v>EUR.PRICING.XLS_STRIPS.IT0003268817</v>
      </c>
      <c r="U65" s="33" t="str">
        <f>IF(UPPER($V$1)="ABCD",MKV_PUBLISHRECORD(T65, "XLS_STRIPS"),"--")</f>
        <v>--</v>
      </c>
      <c r="V65" s="33" t="str">
        <f>IF(UPPER(V$1)="ABCD",MKV_SUPPLYRECORD(T65, "Bid",E65, "Ask",G65, "Id",A65, "Mid",F65, "Name",C65,"DV01",M65,"MidYield",I65,"BidYield",H65,"AskYield",J65),"--")</f>
        <v>--</v>
      </c>
    </row>
    <row r="66" spans="1:22" x14ac:dyDescent="0.2">
      <c r="A66" s="72" t="s">
        <v>180</v>
      </c>
      <c r="B66" s="89">
        <v>45536</v>
      </c>
      <c r="C66" s="47" t="s">
        <v>181</v>
      </c>
      <c r="D66" s="47" t="s">
        <v>182</v>
      </c>
      <c r="E66" s="109">
        <f ca="1"/>
        <v>76.709999999999994</v>
      </c>
      <c r="F66" s="109">
        <f ca="1"/>
        <v>77.014915764793429</v>
      </c>
      <c r="G66" s="109">
        <f t="shared" ca="1" si="35"/>
        <v>77.319831529586864</v>
      </c>
      <c r="H66" s="109">
        <f ca="1">_xll.qlBondYieldFromCleanPrice(N66,E66,YieldDayCounter,YieldCompounding,YieldFrequency)*100</f>
        <v>2.7238971794561202</v>
      </c>
      <c r="I66" s="109">
        <f ca="1">_xll.qlBondYieldFromCleanPrice(O66,F66,YieldDayCounter,YieldCompounding,YieldFrequency)*100</f>
        <v>2.6826000161841526</v>
      </c>
      <c r="J66" s="109">
        <f ca="1">_xll.qlBondYieldFromCleanPrice(P66,G66,YieldDayCounter,YieldCompounding,YieldFrequency)*100</f>
        <v>2.641482559479774</v>
      </c>
      <c r="K66" s="109">
        <f ca="1">_xll.qlBondDurationFromYield(O66,I66,YieldDayCounter,YieldCompounding,YieldFrequency,K$2)</f>
        <v>2.6790184601368301</v>
      </c>
      <c r="L66" s="109">
        <f ca="1">_xll.qlBondConvexityFromYield(O66,I66/100,YieldDayCounter,YieldCompounding,YieldFrequency)</f>
        <v>101.67083459203371</v>
      </c>
      <c r="M66" s="109" t="e">
        <f t="shared" ca="1" si="3"/>
        <v>#NAME?</v>
      </c>
      <c r="N66" s="109" t="str">
        <f>_xll.qlZeroCouponBond(,,"EUR",3,"target",100,$B66,"f",100,,,Trigger)</f>
        <v>obj_003a6#0001</v>
      </c>
      <c r="O66" s="109" t="str">
        <f>_xll.qlZeroCouponBond(,,"EUR",3,"target",100,$B66,"f",100,,,Trigger)</f>
        <v>obj_002aa#0001</v>
      </c>
      <c r="P66" s="109" t="str">
        <f>_xll.qlZeroCouponBond(,,"EUR",3,"target",100,$B66,"f",100,,,Trigger)</f>
        <v>obj_002cc#0001</v>
      </c>
      <c r="Q66" s="109">
        <f t="shared" ca="1" si="36"/>
        <v>76.709999999999994</v>
      </c>
      <c r="R66" s="109">
        <f t="shared" ref="R66" ca="1" si="68">Q66</f>
        <v>76.709999999999994</v>
      </c>
      <c r="S66" s="33" t="str">
        <f>IF(UPPER(S$1)="ABCD",_xll.RtContribute($D$3,$D66,$Q$3:$R$3,$Q66:$R66,"SCOPE:SERVER"),"--")</f>
        <v>--</v>
      </c>
      <c r="T66" s="33" t="str">
        <f t="shared" si="38"/>
        <v>EUR.PRICING.XLS_STRIPS.IT0004976442</v>
      </c>
      <c r="U66" s="33" t="str">
        <f>IF(UPPER($V$1)="ABCD",MKV_PUBLISHRECORD(T66, "XLS_STRIPS"),"--")</f>
        <v>--</v>
      </c>
      <c r="V66" s="33" t="str">
        <f>IF(UPPER(V$1)="ABCD",MKV_SUPPLYRECORD(T66, "Bid",E66, "Ask",G66, "Id",A66, "Mid",F66, "Name",C66,"DV01",M66,"MidYield",I66,"BidYield",H66,"AskYield",J66),"--")</f>
        <v>--</v>
      </c>
    </row>
    <row r="67" spans="1:22" x14ac:dyDescent="0.2">
      <c r="A67" s="72" t="s">
        <v>58</v>
      </c>
      <c r="B67" s="89">
        <v>45597</v>
      </c>
      <c r="C67" s="47" t="s">
        <v>404</v>
      </c>
      <c r="D67" s="47" t="s">
        <v>405</v>
      </c>
      <c r="E67" s="109">
        <f ca="1"/>
        <v>76.95</v>
      </c>
      <c r="F67" s="109">
        <f ca="1"/>
        <v>77.264958012621292</v>
      </c>
      <c r="G67" s="109">
        <f t="shared" ca="1" si="35"/>
        <v>77.579916025242582</v>
      </c>
      <c r="H67" s="109">
        <f ca="1">_xll.qlBondYieldFromCleanPrice(N67,E67,YieldDayCounter,YieldCompounding,YieldFrequency)*100</f>
        <v>2.6466895021125678</v>
      </c>
      <c r="I67" s="109">
        <f ca="1">_xll.qlBondYieldFromCleanPrice(O67,F67,YieldDayCounter,YieldCompounding,YieldFrequency)*100</f>
        <v>2.604896222201968</v>
      </c>
      <c r="J67" s="109">
        <f ca="1">_xll.qlBondYieldFromCleanPrice(P67,G67,YieldDayCounter,YieldCompounding,YieldFrequency)*100</f>
        <v>2.5632898766919978</v>
      </c>
      <c r="K67" s="109">
        <f ca="1">_xll.qlBondDurationFromYield(O67,I67,YieldDayCounter,YieldCompounding,YieldFrequency,K$2)</f>
        <v>2.7823649747605468</v>
      </c>
      <c r="L67" s="109">
        <f ca="1">_xll.qlBondConvexityFromYield(O67,I67/100,YieldDayCounter,YieldCompounding,YieldFrequency)</f>
        <v>105.08763047102224</v>
      </c>
      <c r="M67" s="109" t="e">
        <f t="shared" ca="1" si="3"/>
        <v>#NAME?</v>
      </c>
      <c r="N67" s="109" t="str">
        <f>_xll.qlZeroCouponBond(,,"EUR",3,"target",100,$B67,"f",100,,,Trigger)</f>
        <v>obj_003cb#0001</v>
      </c>
      <c r="O67" s="109" t="str">
        <f>_xll.qlZeroCouponBond(,,"EUR",3,"target",100,$B67,"f",100,,,Trigger)</f>
        <v>obj_0024c#0001</v>
      </c>
      <c r="P67" s="109" t="str">
        <f>_xll.qlZeroCouponBond(,,"EUR",3,"target",100,$B67,"f",100,,,Trigger)</f>
        <v>obj_0024d#0001</v>
      </c>
      <c r="Q67" s="109">
        <f t="shared" ca="1" si="36"/>
        <v>76.95</v>
      </c>
      <c r="R67" s="109">
        <f t="shared" ref="R67" ca="1" si="69">Q67</f>
        <v>76.95</v>
      </c>
      <c r="S67" s="33" t="str">
        <f>IF(UPPER(S$1)="ABCD",_xll.RtContribute($D$3,$D67,$Q$3:$R$3,$Q67:$R67,"SCOPE:SERVER"),"--")</f>
        <v>--</v>
      </c>
      <c r="T67" s="33" t="str">
        <f t="shared" si="38"/>
        <v>EUR.PRICING.XLS_STRIPS.IT0001247342</v>
      </c>
      <c r="U67" s="33" t="str">
        <f>IF(UPPER($V$1)="ABCD",MKV_PUBLISHRECORD(T67, "XLS_STRIPS"),"--")</f>
        <v>--</v>
      </c>
      <c r="V67" s="33" t="str">
        <f>IF(UPPER(V$1)="ABCD",MKV_SUPPLYRECORD(T67, "Bid",E67, "Ask",G67, "Id",A67, "Mid",F67, "Name",C67,"DV01",M67,"MidYield",I67,"BidYield",H67,"AskYield",J67),"--")</f>
        <v>--</v>
      </c>
    </row>
    <row r="68" spans="1:22" x14ac:dyDescent="0.2">
      <c r="A68" s="72" t="s">
        <v>59</v>
      </c>
      <c r="B68" s="89">
        <v>45689</v>
      </c>
      <c r="C68" s="47" t="s">
        <v>406</v>
      </c>
      <c r="D68" s="47" t="s">
        <v>407</v>
      </c>
      <c r="E68" s="109">
        <f ca="1"/>
        <v>75.34</v>
      </c>
      <c r="F68" s="109">
        <f ca="1"/>
        <v>75.658572565129859</v>
      </c>
      <c r="G68" s="109">
        <f t="shared" ref="G68:G99" ca="1" si="70">2*F68-E68</f>
        <v>75.977145130259714</v>
      </c>
      <c r="H68" s="109">
        <f ca="1">_xll.qlBondYieldFromCleanPrice(N68,E68,YieldDayCounter,YieldCompounding,YieldFrequency)*100</f>
        <v>2.7906396593526006</v>
      </c>
      <c r="I68" s="109">
        <f ca="1">_xll.qlBondYieldFromCleanPrice(O68,F68,YieldDayCounter,YieldCompounding,YieldFrequency)*100</f>
        <v>2.7484881020709873</v>
      </c>
      <c r="J68" s="109">
        <f ca="1">_xll.qlBondYieldFromCleanPrice(P68,G68,YieldDayCounter,YieldCompounding,YieldFrequency)*100</f>
        <v>2.7065308350560349</v>
      </c>
      <c r="K68" s="109">
        <f ca="1">_xll.qlBondDurationFromYield(O68,I68,YieldDayCounter,YieldCompounding,YieldFrequency,K$2)</f>
        <v>2.7444854972843364</v>
      </c>
      <c r="L68" s="109">
        <f ca="1">_xll.qlBondConvexityFromYield(O68,I68/100,YieldDayCounter,YieldCompounding,YieldFrequency)</f>
        <v>109.99439318929969</v>
      </c>
      <c r="M68" s="109" t="e">
        <f t="shared" ca="1" si="3"/>
        <v>#NAME?</v>
      </c>
      <c r="N68" s="109" t="str">
        <f>_xll.qlZeroCouponBond(,,"EUR",3,"target",100,$B68,"f",100,,,Trigger)</f>
        <v>obj_00255#0001</v>
      </c>
      <c r="O68" s="109" t="str">
        <f>_xll.qlZeroCouponBond(,,"EUR",3,"target",100,$B68,"f",100,,,Trigger)</f>
        <v>obj_00327#0001</v>
      </c>
      <c r="P68" s="109" t="str">
        <f>_xll.qlZeroCouponBond(,,"EUR",3,"target",100,$B68,"f",100,,,Trigger)</f>
        <v>obj_0028b#0001</v>
      </c>
      <c r="Q68" s="109">
        <f t="shared" ref="Q68:Q99" ca="1" si="71">E68</f>
        <v>75.34</v>
      </c>
      <c r="R68" s="109">
        <f t="shared" ref="R68" ca="1" si="72">Q68</f>
        <v>75.34</v>
      </c>
      <c r="S68" s="33" t="str">
        <f>IF(UPPER(S$1)="ABCD",_xll.RtContribute($D$3,$D68,$Q$3:$R$3,$Q68:$R68,"SCOPE:SERVER"),"--")</f>
        <v>--</v>
      </c>
      <c r="T68" s="33" t="str">
        <f t="shared" ref="T68:T99" si="73">T$3&amp;A68</f>
        <v>EUR.PRICING.XLS_STRIPS.IT0003268825</v>
      </c>
      <c r="U68" s="33" t="str">
        <f>IF(UPPER($V$1)="ABCD",MKV_PUBLISHRECORD(T68, "XLS_STRIPS"),"--")</f>
        <v>--</v>
      </c>
      <c r="V68" s="33" t="str">
        <f>IF(UPPER(V$1)="ABCD",MKV_SUPPLYRECORD(T68, "Bid",E68, "Ask",G68, "Id",A68, "Mid",F68, "Name",C68,"DV01",M68,"MidYield",I68,"BidYield",H68,"AskYield",J68),"--")</f>
        <v>--</v>
      </c>
    </row>
    <row r="69" spans="1:22" x14ac:dyDescent="0.2">
      <c r="A69" s="72" t="s">
        <v>183</v>
      </c>
      <c r="B69" s="89">
        <v>45717</v>
      </c>
      <c r="C69" s="47" t="s">
        <v>184</v>
      </c>
      <c r="D69" s="47" t="s">
        <v>185</v>
      </c>
      <c r="E69" s="109">
        <f ca="1"/>
        <v>74.42</v>
      </c>
      <c r="F69" s="109">
        <f ca="1"/>
        <v>74.736741932370037</v>
      </c>
      <c r="G69" s="109">
        <f t="shared" ca="1" si="70"/>
        <v>75.053483864740073</v>
      </c>
      <c r="H69" s="109">
        <f ca="1">_xll.qlBondYieldFromCleanPrice(N69,E69,YieldDayCounter,YieldCompounding,YieldFrequency)*100</f>
        <v>2.8916020034293823</v>
      </c>
      <c r="I69" s="109">
        <f ca="1">_xll.qlBondYieldFromCleanPrice(O69,F69,YieldDayCounter,YieldCompounding,YieldFrequency)*100</f>
        <v>2.8494478071853524</v>
      </c>
      <c r="J69" s="109">
        <f ca="1">_xll.qlBondYieldFromCleanPrice(P69,G69,YieldDayCounter,YieldCompounding,YieldFrequency)*100</f>
        <v>2.8074890506640084</v>
      </c>
      <c r="K69" s="109">
        <f ca="1">_xll.qlBondDurationFromYield(O69,I69,YieldDayCounter,YieldCompounding,YieldFrequency,K$2)</f>
        <v>2.6924338452641829</v>
      </c>
      <c r="L69" s="109">
        <f ca="1">_xll.qlBondConvexityFromYield(O69,I69/100,YieldDayCounter,YieldCompounding,YieldFrequency)</f>
        <v>111.34877189971297</v>
      </c>
      <c r="M69" s="109" t="e">
        <f t="shared" ref="M69:M132" ca="1" si="74">_xll.BDP(A69&amp;" Corp","risk mid")</f>
        <v>#NAME?</v>
      </c>
      <c r="N69" s="109" t="str">
        <f>_xll.qlZeroCouponBond(,,"EUR",3,"target",100,$B69,"f",100,,,Trigger)</f>
        <v>obj_00356#0001</v>
      </c>
      <c r="O69" s="109" t="str">
        <f>_xll.qlZeroCouponBond(,,"EUR",3,"target",100,$B69,"f",100,,,Trigger)</f>
        <v>obj_0026b#0001</v>
      </c>
      <c r="P69" s="109" t="str">
        <f>_xll.qlZeroCouponBond(,,"EUR",3,"target",100,$B69,"f",100,,,Trigger)</f>
        <v>obj_00349#0001</v>
      </c>
      <c r="Q69" s="109">
        <f t="shared" ca="1" si="71"/>
        <v>74.42</v>
      </c>
      <c r="R69" s="109">
        <f t="shared" ref="R69" ca="1" si="75">Q69</f>
        <v>74.42</v>
      </c>
      <c r="S69" s="33" t="str">
        <f>IF(UPPER(S$1)="ABCD",_xll.RtContribute($D$3,$D69,$Q$3:$R$3,$Q69:$R69,"SCOPE:SERVER"),"--")</f>
        <v>--</v>
      </c>
      <c r="T69" s="33" t="str">
        <f t="shared" si="73"/>
        <v>EUR.PRICING.XLS_STRIPS.IT0004976459</v>
      </c>
      <c r="U69" s="33" t="str">
        <f>IF(UPPER($V$1)="ABCD",MKV_PUBLISHRECORD(T69, "XLS_STRIPS"),"--")</f>
        <v>--</v>
      </c>
      <c r="V69" s="33" t="str">
        <f>IF(UPPER(V$1)="ABCD",MKV_SUPPLYRECORD(T69, "Bid",E69, "Ask",G69, "Id",A69, "Mid",F69, "Name",C69,"DV01",M69,"MidYield",I69,"BidYield",H69,"AskYield",J69),"--")</f>
        <v>--</v>
      </c>
    </row>
    <row r="70" spans="1:22" x14ac:dyDescent="0.2">
      <c r="A70" s="72" t="s">
        <v>60</v>
      </c>
      <c r="B70" s="89">
        <v>45778</v>
      </c>
      <c r="C70" s="47" t="s">
        <v>408</v>
      </c>
      <c r="D70" s="47" t="s">
        <v>409</v>
      </c>
      <c r="E70" s="109">
        <f ca="1"/>
        <v>73.010000000000005</v>
      </c>
      <c r="F70" s="109">
        <f ca="1"/>
        <v>73.325324827127034</v>
      </c>
      <c r="G70" s="109">
        <f t="shared" ca="1" si="70"/>
        <v>73.640649654254062</v>
      </c>
      <c r="H70" s="109">
        <f ca="1">_xll.qlBondYieldFromCleanPrice(N70,E70,YieldDayCounter,YieldCompounding,YieldFrequency)*100</f>
        <v>3.0328362750498701</v>
      </c>
      <c r="I70" s="109">
        <f ca="1">_xll.qlBondYieldFromCleanPrice(O70,F70,YieldDayCounter,YieldCompounding,YieldFrequency)*100</f>
        <v>2.9906715841965186</v>
      </c>
      <c r="J70" s="109">
        <f ca="1">_xll.qlBondYieldFromCleanPrice(P70,G70,YieldDayCounter,YieldCompounding,YieldFrequency)*100</f>
        <v>2.9487049677595505</v>
      </c>
      <c r="K70" s="109">
        <f ca="1">_xll.qlBondDurationFromYield(O70,I70,YieldDayCounter,YieldCompounding,YieldFrequency,K$2)</f>
        <v>2.6383446748619206</v>
      </c>
      <c r="L70" s="109">
        <f ca="1">_xll.qlBondConvexityFromYield(O70,I70/100,YieldDayCounter,YieldCompounding,YieldFrequency)</f>
        <v>114.43651050783885</v>
      </c>
      <c r="M70" s="109" t="e">
        <f t="shared" ca="1" si="74"/>
        <v>#NAME?</v>
      </c>
      <c r="N70" s="109" t="str">
        <f>_xll.qlZeroCouponBond(,,"EUR",3,"target",100,$B70,"f",100,,,Trigger)</f>
        <v>obj_00362#0001</v>
      </c>
      <c r="O70" s="109" t="str">
        <f>_xll.qlZeroCouponBond(,,"EUR",3,"target",100,$B70,"f",100,,,Trigger)</f>
        <v>obj_0028d#0001</v>
      </c>
      <c r="P70" s="109" t="str">
        <f>_xll.qlZeroCouponBond(,,"EUR",3,"target",100,$B70,"f",100,,,Trigger)</f>
        <v>obj_00232#0001</v>
      </c>
      <c r="Q70" s="109">
        <f t="shared" ca="1" si="71"/>
        <v>73.010000000000005</v>
      </c>
      <c r="R70" s="109">
        <f t="shared" ref="R70" ca="1" si="76">Q70</f>
        <v>73.010000000000005</v>
      </c>
      <c r="S70" s="33" t="str">
        <f>IF(UPPER(S$1)="ABCD",_xll.RtContribute($D$3,$D70,$Q$3:$R$3,$Q70:$R70,"SCOPE:SERVER"),"--")</f>
        <v>--</v>
      </c>
      <c r="T70" s="33" t="str">
        <f t="shared" si="73"/>
        <v>EUR.PRICING.XLS_STRIPS.IT0001247359</v>
      </c>
      <c r="U70" s="33" t="str">
        <f>IF(UPPER($V$1)="ABCD",MKV_PUBLISHRECORD(T70, "XLS_STRIPS"),"--")</f>
        <v>--</v>
      </c>
      <c r="V70" s="33" t="str">
        <f>IF(UPPER(V$1)="ABCD",MKV_SUPPLYRECORD(T70, "Bid",E70, "Ask",G70, "Id",A70, "Mid",F70, "Name",C70,"DV01",M70,"MidYield",I70,"BidYield",H70,"AskYield",J70),"--")</f>
        <v>--</v>
      </c>
    </row>
    <row r="71" spans="1:22" x14ac:dyDescent="0.2">
      <c r="A71" s="72" t="s">
        <v>61</v>
      </c>
      <c r="B71" s="89">
        <v>45870</v>
      </c>
      <c r="C71" s="47" t="s">
        <v>410</v>
      </c>
      <c r="D71" s="47" t="s">
        <v>411</v>
      </c>
      <c r="E71" s="109">
        <f ca="1"/>
        <v>71.87</v>
      </c>
      <c r="F71" s="109">
        <f ca="1"/>
        <v>72.181236906004955</v>
      </c>
      <c r="G71" s="109">
        <f t="shared" ca="1" si="70"/>
        <v>72.492473812009905</v>
      </c>
      <c r="H71" s="109">
        <f ca="1">_xll.qlBondYieldFromCleanPrice(N71,E71,YieldDayCounter,YieldCompounding,YieldFrequency)*100</f>
        <v>3.1121010812584169</v>
      </c>
      <c r="I71" s="109">
        <f ca="1">_xll.qlBondYieldFromCleanPrice(O71,F71,YieldDayCounter,YieldCompounding,YieldFrequency)*100</f>
        <v>3.0707691280047484</v>
      </c>
      <c r="J71" s="109">
        <f ca="1">_xll.qlBondYieldFromCleanPrice(P71,G71,YieldDayCounter,YieldCompounding,YieldFrequency)*100</f>
        <v>3.0296314803078901</v>
      </c>
      <c r="K71" s="109">
        <f ca="1">_xll.qlBondDurationFromYield(O71,I71,YieldDayCounter,YieldCompounding,YieldFrequency,K$2)</f>
        <v>2.6476770980779261</v>
      </c>
      <c r="L71" s="109">
        <f ca="1">_xll.qlBondConvexityFromYield(O71,I71/100,YieldDayCounter,YieldCompounding,YieldFrequency)</f>
        <v>119.49370806781143</v>
      </c>
      <c r="M71" s="109" t="e">
        <f t="shared" ca="1" si="74"/>
        <v>#NAME?</v>
      </c>
      <c r="N71" s="109" t="str">
        <f>_xll.qlZeroCouponBond(,,"EUR",3,"target",100,$B71,"f",100,,,Trigger)</f>
        <v>obj_002b8#0001</v>
      </c>
      <c r="O71" s="109" t="str">
        <f>_xll.qlZeroCouponBond(,,"EUR",3,"target",100,$B71,"f",100,,,Trigger)</f>
        <v>obj_003d7#0001</v>
      </c>
      <c r="P71" s="109" t="str">
        <f>_xll.qlZeroCouponBond(,,"EUR",3,"target",100,$B71,"f",100,,,Trigger)</f>
        <v>obj_0029f#0001</v>
      </c>
      <c r="Q71" s="109">
        <f t="shared" ca="1" si="71"/>
        <v>71.87</v>
      </c>
      <c r="R71" s="109">
        <f t="shared" ref="R71" ca="1" si="77">Q71</f>
        <v>71.87</v>
      </c>
      <c r="S71" s="33" t="str">
        <f>IF(UPPER(S$1)="ABCD",_xll.RtContribute($D$3,$D71,$Q$3:$R$3,$Q71:$R71,"SCOPE:SERVER"),"--")</f>
        <v>--</v>
      </c>
      <c r="T71" s="33" t="str">
        <f t="shared" si="73"/>
        <v>EUR.PRICING.XLS_STRIPS.IT0003268833</v>
      </c>
      <c r="U71" s="33" t="str">
        <f>IF(UPPER($V$1)="ABCD",MKV_PUBLISHRECORD(T71, "XLS_STRIPS"),"--")</f>
        <v>--</v>
      </c>
      <c r="V71" s="33" t="str">
        <f>IF(UPPER(V$1)="ABCD",MKV_SUPPLYRECORD(T71, "Bid",E71, "Ask",G71, "Id",A71, "Mid",F71, "Name",C71,"DV01",M71,"MidYield",I71,"BidYield",H71,"AskYield",J71),"--")</f>
        <v>--</v>
      </c>
    </row>
    <row r="72" spans="1:22" x14ac:dyDescent="0.2">
      <c r="A72" s="72" t="s">
        <v>186</v>
      </c>
      <c r="B72" s="89">
        <v>45901</v>
      </c>
      <c r="C72" s="47" t="s">
        <v>187</v>
      </c>
      <c r="D72" s="47" t="s">
        <v>188</v>
      </c>
      <c r="E72" s="109">
        <f ca="1"/>
        <v>71.66</v>
      </c>
      <c r="F72" s="109">
        <f ca="1"/>
        <v>71.977998728087314</v>
      </c>
      <c r="G72" s="109">
        <f t="shared" ca="1" si="70"/>
        <v>72.295997456174632</v>
      </c>
      <c r="H72" s="109">
        <f ca="1">_xll.qlBondYieldFromCleanPrice(N72,E72,YieldDayCounter,YieldCompounding,YieldFrequency)*100</f>
        <v>3.1151704687997706</v>
      </c>
      <c r="I72" s="109">
        <f ca="1">_xll.qlBondYieldFromCleanPrice(O72,F72,YieldDayCounter,YieldCompounding,YieldFrequency)*100</f>
        <v>3.0731490696594128</v>
      </c>
      <c r="J72" s="109">
        <f ca="1">_xll.qlBondYieldFromCleanPrice(P72,G72,YieldDayCounter,YieldCompounding,YieldFrequency)*100</f>
        <v>3.0313299274817114</v>
      </c>
      <c r="K72" s="109">
        <f ca="1">_xll.qlBondDurationFromYield(O72,I72,YieldDayCounter,YieldCompounding,YieldFrequency,K$2)</f>
        <v>2.6669816186075592</v>
      </c>
      <c r="L72" s="109">
        <f ca="1">_xll.qlBondConvexityFromYield(O72,I72/100,YieldDayCounter,YieldCompounding,YieldFrequency)</f>
        <v>121.29817582025922</v>
      </c>
      <c r="M72" s="109" t="e">
        <f t="shared" ca="1" si="74"/>
        <v>#NAME?</v>
      </c>
      <c r="N72" s="109" t="str">
        <f>_xll.qlZeroCouponBond(,,"EUR",3,"target",100,$B72,"f",100,,,Trigger)</f>
        <v>obj_002d9#0001</v>
      </c>
      <c r="O72" s="109" t="str">
        <f>_xll.qlZeroCouponBond(,,"EUR",3,"target",100,$B72,"f",100,,,Trigger)</f>
        <v>obj_0026e#0001</v>
      </c>
      <c r="P72" s="109" t="str">
        <f>_xll.qlZeroCouponBond(,,"EUR",3,"target",100,$B72,"f",100,,,Trigger)</f>
        <v>obj_0033c#0001</v>
      </c>
      <c r="Q72" s="109">
        <f t="shared" ca="1" si="71"/>
        <v>71.66</v>
      </c>
      <c r="R72" s="109">
        <f t="shared" ref="R72" ca="1" si="78">Q72</f>
        <v>71.66</v>
      </c>
      <c r="S72" s="33" t="str">
        <f>IF(UPPER(S$1)="ABCD",_xll.RtContribute($D$3,$D72,$Q$3:$R$3,$Q72:$R72,"SCOPE:SERVER"),"--")</f>
        <v>--</v>
      </c>
      <c r="T72" s="33" t="str">
        <f t="shared" si="73"/>
        <v>EUR.PRICING.XLS_STRIPS.IT0004976467</v>
      </c>
      <c r="U72" s="33" t="str">
        <f>IF(UPPER($V$1)="ABCD",MKV_PUBLISHRECORD(T72, "XLS_STRIPS"),"--")</f>
        <v>--</v>
      </c>
      <c r="V72" s="33" t="str">
        <f>IF(UPPER(V$1)="ABCD",MKV_SUPPLYRECORD(T72, "Bid",E72, "Ask",G72, "Id",A72, "Mid",F72, "Name",C72,"DV01",M72,"MidYield",I72,"BidYield",H72,"AskYield",J72),"--")</f>
        <v>--</v>
      </c>
    </row>
    <row r="73" spans="1:22" x14ac:dyDescent="0.2">
      <c r="A73" s="72" t="s">
        <v>62</v>
      </c>
      <c r="B73" s="89">
        <v>45962</v>
      </c>
      <c r="C73" s="47" t="s">
        <v>412</v>
      </c>
      <c r="D73" s="47" t="s">
        <v>413</v>
      </c>
      <c r="E73" s="109">
        <f ca="1"/>
        <v>71.41</v>
      </c>
      <c r="F73" s="109">
        <f ca="1"/>
        <v>71.730744776429972</v>
      </c>
      <c r="G73" s="109">
        <f t="shared" ca="1" si="70"/>
        <v>72.051489552859948</v>
      </c>
      <c r="H73" s="109">
        <f ca="1">_xll.qlBondYieldFromCleanPrice(N73,E73,YieldDayCounter,YieldCompounding,YieldFrequency)*100</f>
        <v>3.0983526844462621</v>
      </c>
      <c r="I73" s="109">
        <f ca="1">_xll.qlBondYieldFromCleanPrice(O73,F73,YieldDayCounter,YieldCompounding,YieldFrequency)*100</f>
        <v>3.0564931957785557</v>
      </c>
      <c r="J73" s="109">
        <f ca="1">_xll.qlBondYieldFromCleanPrice(P73,G73,YieldDayCounter,YieldCompounding,YieldFrequency)*100</f>
        <v>3.0148373395517307</v>
      </c>
      <c r="K73" s="109">
        <f ca="1">_xll.qlBondDurationFromYield(O73,I73,YieldDayCounter,YieldCompounding,YieldFrequency,K$2)</f>
        <v>2.7204819300179102</v>
      </c>
      <c r="L73" s="109">
        <f ca="1">_xll.qlBondConvexityFromYield(O73,I73/100,YieldDayCounter,YieldCompounding,YieldFrequency)</f>
        <v>125.05878811030729</v>
      </c>
      <c r="M73" s="109" t="e">
        <f t="shared" ca="1" si="74"/>
        <v>#NAME?</v>
      </c>
      <c r="N73" s="109" t="str">
        <f>_xll.qlZeroCouponBond(,,"EUR",3,"target",100,$B73,"f",100,,,Trigger)</f>
        <v>obj_00357#0001</v>
      </c>
      <c r="O73" s="109" t="str">
        <f>_xll.qlZeroCouponBond(,,"EUR",3,"target",100,$B73,"f",100,,,Trigger)</f>
        <v>obj_002da#0001</v>
      </c>
      <c r="P73" s="109" t="str">
        <f>_xll.qlZeroCouponBond(,,"EUR",3,"target",100,$B73,"f",100,,,Trigger)</f>
        <v>obj_002e4#0001</v>
      </c>
      <c r="Q73" s="109">
        <f t="shared" ca="1" si="71"/>
        <v>71.41</v>
      </c>
      <c r="R73" s="109">
        <f t="shared" ref="R73" ca="1" si="79">Q73</f>
        <v>71.41</v>
      </c>
      <c r="S73" s="33" t="str">
        <f>IF(UPPER(S$1)="ABCD",_xll.RtContribute($D$3,$D73,$Q$3:$R$3,$Q73:$R73,"SCOPE:SERVER"),"--")</f>
        <v>--</v>
      </c>
      <c r="T73" s="33" t="str">
        <f t="shared" si="73"/>
        <v>EUR.PRICING.XLS_STRIPS.IT0001247367</v>
      </c>
      <c r="U73" s="33" t="str">
        <f>IF(UPPER($V$1)="ABCD",MKV_PUBLISHRECORD(T73, "XLS_STRIPS"),"--")</f>
        <v>--</v>
      </c>
      <c r="V73" s="33" t="str">
        <f>IF(UPPER(V$1)="ABCD",MKV_SUPPLYRECORD(T73, "Bid",E73, "Ask",G73, "Id",A73, "Mid",F73, "Name",C73,"DV01",M73,"MidYield",I73,"BidYield",H73,"AskYield",J73),"--")</f>
        <v>--</v>
      </c>
    </row>
    <row r="74" spans="1:22" x14ac:dyDescent="0.2">
      <c r="A74" s="72" t="s">
        <v>63</v>
      </c>
      <c r="B74" s="89">
        <v>46054</v>
      </c>
      <c r="C74" s="47" t="s">
        <v>414</v>
      </c>
      <c r="D74" s="47" t="s">
        <v>415</v>
      </c>
      <c r="E74" s="109">
        <f ca="1"/>
        <v>71.13</v>
      </c>
      <c r="F74" s="109">
        <f ca="1"/>
        <v>71.46072503491547</v>
      </c>
      <c r="G74" s="109">
        <f t="shared" ca="1" si="70"/>
        <v>71.791450069830944</v>
      </c>
      <c r="H74" s="109">
        <f ca="1">_xll.qlBondYieldFromCleanPrice(N74,E74,YieldDayCounter,YieldCompounding,YieldFrequency)*100</f>
        <v>3.0647499976679691</v>
      </c>
      <c r="I74" s="109">
        <f ca="1">_xll.qlBondYieldFromCleanPrice(O74,F74,YieldDayCounter,YieldCompounding,YieldFrequency)*100</f>
        <v>3.0223926704004414</v>
      </c>
      <c r="J74" s="109">
        <f ca="1">_xll.qlBondYieldFromCleanPrice(P74,G74,YieldDayCounter,YieldCompounding,YieldFrequency)*100</f>
        <v>2.9802482147142295</v>
      </c>
      <c r="K74" s="109">
        <f ca="1">_xll.qlBondDurationFromYield(O74,I74,YieldDayCounter,YieldCompounding,YieldFrequency,K$2)</f>
        <v>2.8055270659902694</v>
      </c>
      <c r="L74" s="109">
        <f ca="1">_xll.qlBondConvexityFromYield(O74,I74/100,YieldDayCounter,YieldCompounding,YieldFrequency)</f>
        <v>130.6196160599838</v>
      </c>
      <c r="M74" s="109" t="e">
        <f t="shared" ca="1" si="74"/>
        <v>#NAME?</v>
      </c>
      <c r="N74" s="109" t="str">
        <f>_xll.qlZeroCouponBond(,,"EUR",3,"target",100,$B74,"f",100,,,Trigger)</f>
        <v>obj_002e3#0001</v>
      </c>
      <c r="O74" s="109" t="str">
        <f>_xll.qlZeroCouponBond(,,"EUR",3,"target",100,$B74,"f",100,,,Trigger)</f>
        <v>obj_002c2#0001</v>
      </c>
      <c r="P74" s="109" t="str">
        <f>_xll.qlZeroCouponBond(,,"EUR",3,"target",100,$B74,"f",100,,,Trigger)</f>
        <v>obj_00375#0001</v>
      </c>
      <c r="Q74" s="109">
        <f t="shared" ca="1" si="71"/>
        <v>71.13</v>
      </c>
      <c r="R74" s="109">
        <f t="shared" ref="R74" ca="1" si="80">Q74</f>
        <v>71.13</v>
      </c>
      <c r="S74" s="33" t="str">
        <f>IF(UPPER(S$1)="ABCD",_xll.RtContribute($D$3,$D74,$Q$3:$R$3,$Q74:$R74,"SCOPE:SERVER"),"--")</f>
        <v>--</v>
      </c>
      <c r="T74" s="33" t="str">
        <f t="shared" si="73"/>
        <v>EUR.PRICING.XLS_STRIPS.IT0003268841</v>
      </c>
      <c r="U74" s="33" t="str">
        <f>IF(UPPER($V$1)="ABCD",MKV_PUBLISHRECORD(T74, "XLS_STRIPS"),"--")</f>
        <v>--</v>
      </c>
      <c r="V74" s="33" t="str">
        <f>IF(UPPER(V$1)="ABCD",MKV_SUPPLYRECORD(T74, "Bid",E74, "Ask",G74, "Id",A74, "Mid",F74, "Name",C74,"DV01",M74,"MidYield",I74,"BidYield",H74,"AskYield",J74),"--")</f>
        <v>--</v>
      </c>
    </row>
    <row r="75" spans="1:22" x14ac:dyDescent="0.2">
      <c r="A75" s="72" t="s">
        <v>189</v>
      </c>
      <c r="B75" s="89">
        <v>46082</v>
      </c>
      <c r="C75" s="47" t="s">
        <v>190</v>
      </c>
      <c r="D75" s="47" t="s">
        <v>191</v>
      </c>
      <c r="E75" s="109">
        <f ca="1"/>
        <v>71.010000000000005</v>
      </c>
      <c r="F75" s="109">
        <f ca="1"/>
        <v>71.338109081628062</v>
      </c>
      <c r="G75" s="109">
        <f t="shared" ca="1" si="70"/>
        <v>71.666218163256119</v>
      </c>
      <c r="H75" s="109">
        <f ca="1">_xll.qlBondYieldFromCleanPrice(N75,E75,YieldDayCounter,YieldCompounding,YieldFrequency)*100</f>
        <v>3.0590601166035727</v>
      </c>
      <c r="I75" s="109">
        <f ca="1">_xll.qlBondYieldFromCleanPrice(O75,F75,YieldDayCounter,YieldCompounding,YieldFrequency)*100</f>
        <v>3.0172526137158275</v>
      </c>
      <c r="J75" s="109">
        <f ca="1">_xll.qlBondYieldFromCleanPrice(P75,G75,YieldDayCounter,YieldCompounding,YieldFrequency)*100</f>
        <v>2.9756538098677994</v>
      </c>
      <c r="K75" s="109">
        <f ca="1">_xll.qlBondDurationFromYield(O75,I75,YieldDayCounter,YieldCompounding,YieldFrequency,K$2)</f>
        <v>2.8282124447004313</v>
      </c>
      <c r="L75" s="109">
        <f ca="1">_xll.qlBondConvexityFromYield(O75,I75/100,YieldDayCounter,YieldCompounding,YieldFrequency)</f>
        <v>132.34193205075269</v>
      </c>
      <c r="M75" s="109" t="e">
        <f t="shared" ca="1" si="74"/>
        <v>#NAME?</v>
      </c>
      <c r="N75" s="109" t="str">
        <f>_xll.qlZeroCouponBond(,,"EUR",3,"target",100,$B75,"f",100,,,Trigger)</f>
        <v>obj_00239#0001</v>
      </c>
      <c r="O75" s="109" t="str">
        <f>_xll.qlZeroCouponBond(,,"EUR",3,"target",100,$B75,"f",100,,,Trigger)</f>
        <v>obj_00285#0001</v>
      </c>
      <c r="P75" s="109" t="str">
        <f>_xll.qlZeroCouponBond(,,"EUR",3,"target",100,$B75,"f",100,,,Trigger)</f>
        <v>obj_003d8#0001</v>
      </c>
      <c r="Q75" s="109">
        <f t="shared" ca="1" si="71"/>
        <v>71.010000000000005</v>
      </c>
      <c r="R75" s="109">
        <f t="shared" ref="R75" ca="1" si="81">Q75</f>
        <v>71.010000000000005</v>
      </c>
      <c r="S75" s="33" t="str">
        <f>IF(UPPER(S$1)="ABCD",_xll.RtContribute($D$3,$D75,$Q$3:$R$3,$Q75:$R75,"SCOPE:SERVER"),"--")</f>
        <v>--</v>
      </c>
      <c r="T75" s="33" t="str">
        <f t="shared" si="73"/>
        <v>EUR.PRICING.XLS_STRIPS.IT0004976475</v>
      </c>
      <c r="U75" s="33" t="str">
        <f>IF(UPPER($V$1)="ABCD",MKV_PUBLISHRECORD(T75, "XLS_STRIPS"),"--")</f>
        <v>--</v>
      </c>
      <c r="V75" s="33" t="str">
        <f>IF(UPPER(V$1)="ABCD",MKV_SUPPLYRECORD(T75, "Bid",E75, "Ask",G75, "Id",A75, "Mid",F75, "Name",C75,"DV01",M75,"MidYield",I75,"BidYield",H75,"AskYield",J75),"--")</f>
        <v>--</v>
      </c>
    </row>
    <row r="76" spans="1:22" x14ac:dyDescent="0.2">
      <c r="A76" s="72" t="s">
        <v>64</v>
      </c>
      <c r="B76" s="89">
        <v>46143</v>
      </c>
      <c r="C76" s="47" t="s">
        <v>416</v>
      </c>
      <c r="D76" s="47" t="s">
        <v>417</v>
      </c>
      <c r="E76" s="109">
        <f ca="1"/>
        <v>70.58</v>
      </c>
      <c r="F76" s="109">
        <f ca="1"/>
        <v>70.916024910844627</v>
      </c>
      <c r="G76" s="109">
        <f t="shared" ca="1" si="70"/>
        <v>71.252049821689255</v>
      </c>
      <c r="H76" s="109">
        <f ca="1">_xll.qlBondYieldFromCleanPrice(N76,E76,YieldDayCounter,YieldCompounding,YieldFrequency)*100</f>
        <v>3.0668609091266998</v>
      </c>
      <c r="I76" s="109">
        <f ca="1">_xll.qlBondYieldFromCleanPrice(O76,F76,YieldDayCounter,YieldCompounding,YieldFrequency)*100</f>
        <v>3.024428422096229</v>
      </c>
      <c r="J76" s="109">
        <f ca="1">_xll.qlBondYieldFromCleanPrice(P76,G76,YieldDayCounter,YieldCompounding,YieldFrequency)*100</f>
        <v>2.9822138708457362</v>
      </c>
      <c r="K76" s="109">
        <f ca="1">_xll.qlBondDurationFromYield(O76,I76,YieldDayCounter,YieldCompounding,YieldFrequency,K$2)</f>
        <v>2.866058323217624</v>
      </c>
      <c r="L76" s="109">
        <f ca="1">_xll.qlBondConvexityFromYield(O76,I76/100,YieldDayCounter,YieldCompounding,YieldFrequency)</f>
        <v>136.20938681473112</v>
      </c>
      <c r="M76" s="109" t="e">
        <f t="shared" ca="1" si="74"/>
        <v>#NAME?</v>
      </c>
      <c r="N76" s="109" t="str">
        <f>_xll.qlZeroCouponBond(,,"EUR",3,"target",100,$B76,"f",100,,,Trigger)</f>
        <v>obj_0038f#0001</v>
      </c>
      <c r="O76" s="109" t="str">
        <f>_xll.qlZeroCouponBond(,,"EUR",3,"target",100,$B76,"f",100,,,Trigger)</f>
        <v>obj_00374#0001</v>
      </c>
      <c r="P76" s="109" t="str">
        <f>_xll.qlZeroCouponBond(,,"EUR",3,"target",100,$B76,"f",100,,,Trigger)</f>
        <v>obj_00270#0001</v>
      </c>
      <c r="Q76" s="109">
        <f t="shared" ca="1" si="71"/>
        <v>70.58</v>
      </c>
      <c r="R76" s="109">
        <f t="shared" ref="R76" ca="1" si="82">Q76</f>
        <v>70.58</v>
      </c>
      <c r="S76" s="33" t="str">
        <f>IF(UPPER(S$1)="ABCD",_xll.RtContribute($D$3,$D76,$Q$3:$R$3,$Q76:$R76,"SCOPE:SERVER"),"--")</f>
        <v>--</v>
      </c>
      <c r="T76" s="33" t="str">
        <f t="shared" si="73"/>
        <v>EUR.PRICING.XLS_STRIPS.IT0001247375</v>
      </c>
      <c r="U76" s="33" t="str">
        <f>IF(UPPER($V$1)="ABCD",MKV_PUBLISHRECORD(T76, "XLS_STRIPS"),"--")</f>
        <v>--</v>
      </c>
      <c r="V76" s="33" t="str">
        <f>IF(UPPER(V$1)="ABCD",MKV_SUPPLYRECORD(T76, "Bid",E76, "Ask",G76, "Id",A76, "Mid",F76, "Name",C76,"DV01",M76,"MidYield",I76,"BidYield",H76,"AskYield",J76),"--")</f>
        <v>--</v>
      </c>
    </row>
    <row r="77" spans="1:22" x14ac:dyDescent="0.2">
      <c r="A77" s="72" t="s">
        <v>65</v>
      </c>
      <c r="B77" s="89">
        <v>46235</v>
      </c>
      <c r="C77" s="47" t="s">
        <v>418</v>
      </c>
      <c r="D77" s="47" t="s">
        <v>419</v>
      </c>
      <c r="E77" s="109">
        <f ca="1"/>
        <v>69.64</v>
      </c>
      <c r="F77" s="109">
        <f ca="1"/>
        <v>69.970495091846587</v>
      </c>
      <c r="G77" s="109">
        <f t="shared" ca="1" si="70"/>
        <v>70.300990183693173</v>
      </c>
      <c r="H77" s="109">
        <f ca="1">_xll.qlBondYieldFromCleanPrice(N77,E77,YieldDayCounter,YieldCompounding,YieldFrequency)*100</f>
        <v>3.1182731608673939</v>
      </c>
      <c r="I77" s="109">
        <f ca="1">_xll.qlBondYieldFromCleanPrice(O77,F77,YieldDayCounter,YieldCompounding,YieldFrequency)*100</f>
        <v>3.0768494037911296</v>
      </c>
      <c r="J77" s="109">
        <f ca="1">_xll.qlBondYieldFromCleanPrice(P77,G77,YieldDayCounter,YieldCompounding,YieldFrequency)*100</f>
        <v>3.0356373598799116</v>
      </c>
      <c r="K77" s="109">
        <f ca="1">_xll.qlBondDurationFromYield(O77,I77,YieldDayCounter,YieldCompounding,YieldFrequency,K$2)</f>
        <v>2.8903598040383556</v>
      </c>
      <c r="L77" s="109">
        <f ca="1">_xll.qlBondConvexityFromYield(O77,I77/100,YieldDayCounter,YieldCompounding,YieldFrequency)</f>
        <v>141.77712873763065</v>
      </c>
      <c r="M77" s="109" t="e">
        <f t="shared" ca="1" si="74"/>
        <v>#NAME?</v>
      </c>
      <c r="N77" s="109" t="str">
        <f>_xll.qlZeroCouponBond(,,"EUR",3,"target",100,$B77,"f",100,,,Trigger)</f>
        <v>obj_00311#0001</v>
      </c>
      <c r="O77" s="109" t="str">
        <f>_xll.qlZeroCouponBond(,,"EUR",3,"target",100,$B77,"f",100,,,Trigger)</f>
        <v>obj_00221#0001</v>
      </c>
      <c r="P77" s="109" t="str">
        <f>_xll.qlZeroCouponBond(,,"EUR",3,"target",100,$B77,"f",100,,,Trigger)</f>
        <v>obj_00222#0001</v>
      </c>
      <c r="Q77" s="109">
        <f t="shared" ca="1" si="71"/>
        <v>69.64</v>
      </c>
      <c r="R77" s="109">
        <f t="shared" ref="R77" ca="1" si="83">Q77</f>
        <v>69.64</v>
      </c>
      <c r="S77" s="33" t="str">
        <f>IF(UPPER(S$1)="ABCD",_xll.RtContribute($D$3,$D77,$Q$3:$R$3,$Q77:$R77,"SCOPE:SERVER"),"--")</f>
        <v>--</v>
      </c>
      <c r="T77" s="33" t="str">
        <f t="shared" si="73"/>
        <v>EUR.PRICING.XLS_STRIPS.IT0003268858</v>
      </c>
      <c r="U77" s="33" t="str">
        <f>IF(UPPER($V$1)="ABCD",MKV_PUBLISHRECORD(T77, "XLS_STRIPS"),"--")</f>
        <v>--</v>
      </c>
      <c r="V77" s="33" t="str">
        <f>IF(UPPER(V$1)="ABCD",MKV_SUPPLYRECORD(T77, "Bid",E77, "Ask",G77, "Id",A77, "Mid",F77, "Name",C77,"DV01",M77,"MidYield",I77,"BidYield",H77,"AskYield",J77),"--")</f>
        <v>--</v>
      </c>
    </row>
    <row r="78" spans="1:22" x14ac:dyDescent="0.2">
      <c r="A78" s="72" t="s">
        <v>192</v>
      </c>
      <c r="B78" s="89">
        <v>46266</v>
      </c>
      <c r="C78" s="47" t="s">
        <v>193</v>
      </c>
      <c r="D78" s="47" t="s">
        <v>194</v>
      </c>
      <c r="E78" s="109">
        <f ca="1"/>
        <v>69.27</v>
      </c>
      <c r="F78" s="109">
        <f ca="1"/>
        <v>69.606853241892253</v>
      </c>
      <c r="G78" s="109">
        <f t="shared" ca="1" si="70"/>
        <v>69.94370648378451</v>
      </c>
      <c r="H78" s="109">
        <f ca="1">_xll.qlBondYieldFromCleanPrice(N78,E78,YieldDayCounter,YieldCompounding,YieldFrequency)*100</f>
        <v>3.1433757014945147</v>
      </c>
      <c r="I78" s="109">
        <f ca="1">_xll.qlBondYieldFromCleanPrice(O78,F78,YieldDayCounter,YieldCompounding,YieldFrequency)*100</f>
        <v>3.1012061303970446</v>
      </c>
      <c r="J78" s="109">
        <f ca="1">_xll.qlBondYieldFromCleanPrice(P78,G78,YieldDayCounter,YieldCompounding,YieldFrequency)*100</f>
        <v>3.0592572441155803</v>
      </c>
      <c r="K78" s="109">
        <f ca="1">_xll.qlBondDurationFromYield(O78,I78,YieldDayCounter,YieldCompounding,YieldFrequency,K$2)</f>
        <v>2.8925670452661834</v>
      </c>
      <c r="L78" s="109">
        <f ca="1">_xll.qlBondConvexityFromYield(O78,I78/100,YieldDayCounter,YieldCompounding,YieldFrequency)</f>
        <v>143.55233869002492</v>
      </c>
      <c r="M78" s="109" t="e">
        <f t="shared" ca="1" si="74"/>
        <v>#NAME?</v>
      </c>
      <c r="N78" s="109" t="str">
        <f>_xll.qlZeroCouponBond(,,"EUR",3,"target",100,$B78,"f",100,,,Trigger)</f>
        <v>obj_00295#0001</v>
      </c>
      <c r="O78" s="109" t="str">
        <f>_xll.qlZeroCouponBond(,,"EUR",3,"target",100,$B78,"f",100,,,Trigger)</f>
        <v>obj_00324#0001</v>
      </c>
      <c r="P78" s="109" t="str">
        <f>_xll.qlZeroCouponBond(,,"EUR",3,"target",100,$B78,"f",100,,,Trigger)</f>
        <v>obj_002c7#0001</v>
      </c>
      <c r="Q78" s="109">
        <f t="shared" ca="1" si="71"/>
        <v>69.27</v>
      </c>
      <c r="R78" s="109">
        <f t="shared" ref="R78" ca="1" si="84">Q78</f>
        <v>69.27</v>
      </c>
      <c r="S78" s="33" t="str">
        <f>IF(UPPER(S$1)="ABCD",_xll.RtContribute($D$3,$D78,$Q$3:$R$3,$Q78:$R78,"SCOPE:SERVER"),"--")</f>
        <v>--</v>
      </c>
      <c r="T78" s="33" t="str">
        <f t="shared" si="73"/>
        <v>EUR.PRICING.XLS_STRIPS.IT0004976483</v>
      </c>
      <c r="U78" s="33" t="str">
        <f>IF(UPPER($V$1)="ABCD",MKV_PUBLISHRECORD(T78, "XLS_STRIPS"),"--")</f>
        <v>--</v>
      </c>
      <c r="V78" s="33" t="str">
        <f>IF(UPPER(V$1)="ABCD",MKV_SUPPLYRECORD(T78, "Bid",E78, "Ask",G78, "Id",A78, "Mid",F78, "Name",C78,"DV01",M78,"MidYield",I78,"BidYield",H78,"AskYield",J78),"--")</f>
        <v>--</v>
      </c>
    </row>
    <row r="79" spans="1:22" x14ac:dyDescent="0.2">
      <c r="A79" s="72" t="s">
        <v>420</v>
      </c>
      <c r="B79" s="89">
        <v>46327</v>
      </c>
      <c r="C79" s="47" t="s">
        <v>421</v>
      </c>
      <c r="D79" s="47" t="s">
        <v>422</v>
      </c>
      <c r="E79" s="109">
        <f ca="1"/>
        <v>68.540000000000006</v>
      </c>
      <c r="F79" s="109">
        <f ca="1"/>
        <v>68.880198819789584</v>
      </c>
      <c r="G79" s="109">
        <f t="shared" ca="1" si="70"/>
        <v>69.220397639579161</v>
      </c>
      <c r="H79" s="109">
        <f ca="1">_xll.qlBondYieldFromCleanPrice(N79,E79,YieldDayCounter,YieldCompounding,YieldFrequency)*100</f>
        <v>3.1891349262388915</v>
      </c>
      <c r="I79" s="109">
        <f ca="1">_xll.qlBondYieldFromCleanPrice(O79,F79,YieldDayCounter,YieldCompounding,YieldFrequency)*100</f>
        <v>3.1466838991269466</v>
      </c>
      <c r="J79" s="109">
        <f ca="1">_xll.qlBondYieldFromCleanPrice(P79,G79,YieldDayCounter,YieldCompounding,YieldFrequency)*100</f>
        <v>3.1044593490287671</v>
      </c>
      <c r="K79" s="109">
        <f ca="1">_xll.qlBondDurationFromYield(O79,I79,YieldDayCounter,YieldCompounding,YieldFrequency,K$2)</f>
        <v>2.901807083694564</v>
      </c>
      <c r="L79" s="109">
        <f ca="1">_xll.qlBondConvexityFromYield(O79,I79/100,YieldDayCounter,YieldCompounding,YieldFrequency)</f>
        <v>147.40058714679896</v>
      </c>
      <c r="M79" s="109" t="e">
        <f t="shared" ca="1" si="74"/>
        <v>#NAME?</v>
      </c>
      <c r="N79" s="109" t="str">
        <f>_xll.qlZeroCouponBond(,,"EUR",3,"target",100,$B79,"f",100,,,Trigger)</f>
        <v>obj_00296#0001</v>
      </c>
      <c r="O79" s="109" t="str">
        <f>_xll.qlZeroCouponBond(,,"EUR",3,"target",100,$B79,"f",100,,,Trigger)</f>
        <v>obj_002f7#0001</v>
      </c>
      <c r="P79" s="109" t="str">
        <f>_xll.qlZeroCouponBond(,,"EUR",3,"target",100,$B79,"f",100,,,Trigger)</f>
        <v>obj_0023b#0001</v>
      </c>
      <c r="Q79" s="109">
        <f t="shared" ca="1" si="71"/>
        <v>68.540000000000006</v>
      </c>
      <c r="R79" s="109">
        <f t="shared" ref="R79" ca="1" si="85">Q79</f>
        <v>68.540000000000006</v>
      </c>
      <c r="S79" s="33" t="str">
        <f>IF(UPPER(S$1)="ABCD",_xll.RtContribute($D$3,$D79,$Q$3:$R$3,$Q79:$R79,"SCOPE:SERVER"),"--")</f>
        <v>--</v>
      </c>
      <c r="T79" s="33" t="str">
        <f t="shared" si="73"/>
        <v>EUR.PRICING.XLS_STRIPS.IT0004848443</v>
      </c>
      <c r="U79" s="33" t="str">
        <f>IF(UPPER($V$1)="ABCD",MKV_PUBLISHRECORD(T79, "XLS_STRIPS"),"--")</f>
        <v>--</v>
      </c>
      <c r="V79" s="33" t="str">
        <f>IF(UPPER(V$1)="ABCD",MKV_SUPPLYRECORD(T79, "Bid",E79, "Ask",G79, "Id",A79, "Mid",F79, "Name",C79,"DV01",M79,"MidYield",I79,"BidYield",H79,"AskYield",J79),"--")</f>
        <v>--</v>
      </c>
    </row>
    <row r="80" spans="1:22" x14ac:dyDescent="0.2">
      <c r="A80" s="72" t="s">
        <v>66</v>
      </c>
      <c r="B80" s="89">
        <v>46419</v>
      </c>
      <c r="C80" s="47" t="s">
        <v>423</v>
      </c>
      <c r="D80" s="47" t="s">
        <v>424</v>
      </c>
      <c r="E80" s="109">
        <f ca="1"/>
        <v>67.510000000000005</v>
      </c>
      <c r="F80" s="109">
        <f ca="1"/>
        <v>67.849367267653676</v>
      </c>
      <c r="G80" s="109">
        <f t="shared" ca="1" si="70"/>
        <v>68.188734535307347</v>
      </c>
      <c r="H80" s="109">
        <f ca="1">_xll.qlBondYieldFromCleanPrice(N80,E80,YieldDayCounter,YieldCompounding,YieldFrequency)*100</f>
        <v>3.2506098751740224</v>
      </c>
      <c r="I80" s="109">
        <f ca="1">_xll.qlBondYieldFromCleanPrice(O80,F80,YieldDayCounter,YieldCompounding,YieldFrequency)*100</f>
        <v>3.2084653993323444</v>
      </c>
      <c r="J80" s="109">
        <f ca="1">_xll.qlBondYieldFromCleanPrice(P80,G80,YieldDayCounter,YieldCompounding,YieldFrequency)*100</f>
        <v>3.1665482702478762</v>
      </c>
      <c r="K80" s="109">
        <f ca="1">_xll.qlBondDurationFromYield(O80,I80,YieldDayCounter,YieldCompounding,YieldFrequency,K$2)</f>
        <v>2.9184490343607048</v>
      </c>
      <c r="L80" s="109">
        <f ca="1">_xll.qlBondConvexityFromYield(O80,I80/100,YieldDayCounter,YieldCompounding,YieldFrequency)</f>
        <v>153.1492872329645</v>
      </c>
      <c r="M80" s="109" t="e">
        <f t="shared" ca="1" si="74"/>
        <v>#NAME?</v>
      </c>
      <c r="N80" s="109" t="str">
        <f>_xll.qlZeroCouponBond(,,"EUR",3,"target",100,$B80,"f",100,,,Trigger)</f>
        <v>obj_00325#0001</v>
      </c>
      <c r="O80" s="109" t="str">
        <f>_xll.qlZeroCouponBond(,,"EUR",3,"target",100,$B80,"f",100,,,Trigger)</f>
        <v>obj_00293#0001</v>
      </c>
      <c r="P80" s="109" t="str">
        <f>_xll.qlZeroCouponBond(,,"EUR",3,"target",100,$B80,"f",100,,,Trigger)</f>
        <v>obj_00360#0001</v>
      </c>
      <c r="Q80" s="109">
        <f t="shared" ca="1" si="71"/>
        <v>67.510000000000005</v>
      </c>
      <c r="R80" s="109">
        <f t="shared" ref="R80" ca="1" si="86">Q80</f>
        <v>67.510000000000005</v>
      </c>
      <c r="S80" s="33" t="str">
        <f>IF(UPPER(S$1)="ABCD",_xll.RtContribute($D$3,$D80,$Q$3:$R$3,$Q80:$R80,"SCOPE:SERVER"),"--")</f>
        <v>--</v>
      </c>
      <c r="T80" s="33" t="str">
        <f t="shared" si="73"/>
        <v>EUR.PRICING.XLS_STRIPS.IT0003268874</v>
      </c>
      <c r="U80" s="33" t="str">
        <f>IF(UPPER($V$1)="ABCD",MKV_PUBLISHRECORD(T80, "XLS_STRIPS"),"--")</f>
        <v>--</v>
      </c>
      <c r="V80" s="33" t="str">
        <f>IF(UPPER(V$1)="ABCD",MKV_SUPPLYRECORD(T80, "Bid",E80, "Ask",G80, "Id",A80, "Mid",F80, "Name",C80,"DV01",M80,"MidYield",I80,"BidYield",H80,"AskYield",J80),"--")</f>
        <v>--</v>
      </c>
    </row>
    <row r="81" spans="1:22" x14ac:dyDescent="0.2">
      <c r="A81" s="72" t="s">
        <v>195</v>
      </c>
      <c r="B81" s="89">
        <v>46447</v>
      </c>
      <c r="C81" s="47" t="s">
        <v>196</v>
      </c>
      <c r="D81" s="47" t="s">
        <v>197</v>
      </c>
      <c r="E81" s="109">
        <f ca="1"/>
        <v>67.22</v>
      </c>
      <c r="F81" s="109">
        <f ca="1"/>
        <v>67.554274907969699</v>
      </c>
      <c r="G81" s="109">
        <f t="shared" ca="1" si="70"/>
        <v>67.888549815939399</v>
      </c>
      <c r="H81" s="109">
        <f ca="1">_xll.qlBondYieldFromCleanPrice(N81,E81,YieldDayCounter,YieldCompounding,YieldFrequency)*100</f>
        <v>3.2660746492818</v>
      </c>
      <c r="I81" s="109">
        <f ca="1">_xll.qlBondYieldFromCleanPrice(O81,F81,YieldDayCounter,YieldCompounding,YieldFrequency)*100</f>
        <v>3.2246348031056216</v>
      </c>
      <c r="J81" s="109">
        <f ca="1">_xll.qlBondYieldFromCleanPrice(P81,G81,YieldDayCounter,YieldCompounding,YieldFrequency)*100</f>
        <v>3.183415994755924</v>
      </c>
      <c r="K81" s="109">
        <f ca="1">_xll.qlBondDurationFromYield(O81,I81,YieldDayCounter,YieldCompounding,YieldFrequency,K$2)</f>
        <v>2.9254372710521017</v>
      </c>
      <c r="L81" s="109">
        <f ca="1">_xll.qlBondConvexityFromYield(O81,I81/100,YieldDayCounter,YieldCompounding,YieldFrequency)</f>
        <v>154.94732571008723</v>
      </c>
      <c r="M81" s="109" t="e">
        <f t="shared" ca="1" si="74"/>
        <v>#NAME?</v>
      </c>
      <c r="N81" s="109" t="str">
        <f>_xll.qlZeroCouponBond(,,"EUR",3,"target",100,$B81,"f",100,,,Trigger)</f>
        <v>obj_00308#0001</v>
      </c>
      <c r="O81" s="109" t="str">
        <f>_xll.qlZeroCouponBond(,,"EUR",3,"target",100,$B81,"f",100,,,Trigger)</f>
        <v>obj_002f3#0001</v>
      </c>
      <c r="P81" s="109" t="str">
        <f>_xll.qlZeroCouponBond(,,"EUR",3,"target",100,$B81,"f",100,,,Trigger)</f>
        <v>obj_0038e#0001</v>
      </c>
      <c r="Q81" s="109">
        <f t="shared" ca="1" si="71"/>
        <v>67.22</v>
      </c>
      <c r="R81" s="109">
        <f t="shared" ref="R81" ca="1" si="87">Q81</f>
        <v>67.22</v>
      </c>
      <c r="S81" s="33" t="str">
        <f>IF(UPPER(S$1)="ABCD",_xll.RtContribute($D$3,$D81,$Q$3:$R$3,$Q81:$R81,"SCOPE:SERVER"),"--")</f>
        <v>--</v>
      </c>
      <c r="T81" s="33" t="str">
        <f t="shared" si="73"/>
        <v>EUR.PRICING.XLS_STRIPS.IT0004976491</v>
      </c>
      <c r="U81" s="33" t="str">
        <f>IF(UPPER($V$1)="ABCD",MKV_PUBLISHRECORD(T81, "XLS_STRIPS"),"--")</f>
        <v>--</v>
      </c>
      <c r="V81" s="33" t="str">
        <f>IF(UPPER(V$1)="ABCD",MKV_SUPPLYRECORD(T81, "Bid",E81, "Ask",G81, "Id",A81, "Mid",F81, "Name",C81,"DV01",M81,"MidYield",I81,"BidYield",H81,"AskYield",J81),"--")</f>
        <v>--</v>
      </c>
    </row>
    <row r="82" spans="1:22" x14ac:dyDescent="0.2">
      <c r="A82" s="72" t="s">
        <v>67</v>
      </c>
      <c r="B82" s="89">
        <v>46508</v>
      </c>
      <c r="C82" s="47" t="s">
        <v>425</v>
      </c>
      <c r="D82" s="47" t="s">
        <v>426</v>
      </c>
      <c r="E82" s="109">
        <f ca="1"/>
        <v>66.599999999999994</v>
      </c>
      <c r="F82" s="109">
        <f ca="1"/>
        <v>66.939197329243939</v>
      </c>
      <c r="G82" s="109">
        <f t="shared" ca="1" si="70"/>
        <v>67.278394658487883</v>
      </c>
      <c r="H82" s="109">
        <f ca="1">_xll.qlBondYieldFromCleanPrice(N82,E82,YieldDayCounter,YieldCompounding,YieldFrequency)*100</f>
        <v>3.2967257882390162</v>
      </c>
      <c r="I82" s="109">
        <f ca="1">_xll.qlBondYieldFromCleanPrice(O82,F82,YieldDayCounter,YieldCompounding,YieldFrequency)*100</f>
        <v>3.2548589758549804</v>
      </c>
      <c r="J82" s="109">
        <f ca="1">_xll.qlBondYieldFromCleanPrice(P82,G82,YieldDayCounter,YieldCompounding,YieldFrequency)*100</f>
        <v>3.2132206225767734</v>
      </c>
      <c r="K82" s="109">
        <f ca="1">_xll.qlBondDurationFromYield(O82,I82,YieldDayCounter,YieldCompounding,YieldFrequency,K$2)</f>
        <v>2.9452226079471795</v>
      </c>
      <c r="L82" s="109">
        <f ca="1">_xll.qlBondConvexityFromYield(O82,I82/100,YieldDayCounter,YieldCompounding,YieldFrequency)</f>
        <v>159.04809135960835</v>
      </c>
      <c r="M82" s="109" t="e">
        <f t="shared" ca="1" si="74"/>
        <v>#NAME?</v>
      </c>
      <c r="N82" s="109" t="str">
        <f>_xll.qlZeroCouponBond(,,"EUR",3,"target",100,$B82,"f",100,,,Trigger)</f>
        <v>obj_00312#0001</v>
      </c>
      <c r="O82" s="109" t="str">
        <f>_xll.qlZeroCouponBond(,,"EUR",3,"target",100,$B82,"f",100,,,Trigger)</f>
        <v>obj_00386#0001</v>
      </c>
      <c r="P82" s="109" t="str">
        <f>_xll.qlZeroCouponBond(,,"EUR",3,"target",100,$B82,"f",100,,,Trigger)</f>
        <v>obj_00251#0001</v>
      </c>
      <c r="Q82" s="109">
        <f t="shared" ca="1" si="71"/>
        <v>66.599999999999994</v>
      </c>
      <c r="R82" s="109">
        <f t="shared" ref="R82" ca="1" si="88">Q82</f>
        <v>66.599999999999994</v>
      </c>
      <c r="S82" s="33" t="str">
        <f>IF(UPPER(S$1)="ABCD",_xll.RtContribute($D$3,$D82,$Q$3:$R$3,$Q82:$R82,"SCOPE:SERVER"),"--")</f>
        <v>--</v>
      </c>
      <c r="T82" s="33" t="str">
        <f t="shared" si="73"/>
        <v>EUR.PRICING.XLS_STRIPS.IT0001247391</v>
      </c>
      <c r="U82" s="33" t="str">
        <f>IF(UPPER($V$1)="ABCD",MKV_PUBLISHRECORD(T82, "XLS_STRIPS"),"--")</f>
        <v>--</v>
      </c>
      <c r="V82" s="33" t="str">
        <f>IF(UPPER(V$1)="ABCD",MKV_SUPPLYRECORD(T82, "Bid",E82, "Ask",G82, "Id",A82, "Mid",F82, "Name",C82,"DV01",M82,"MidYield",I82,"BidYield",H82,"AskYield",J82),"--")</f>
        <v>--</v>
      </c>
    </row>
    <row r="83" spans="1:22" x14ac:dyDescent="0.2">
      <c r="A83" s="72" t="s">
        <v>68</v>
      </c>
      <c r="B83" s="89">
        <v>46600</v>
      </c>
      <c r="C83" s="47" t="s">
        <v>427</v>
      </c>
      <c r="D83" s="47" t="s">
        <v>428</v>
      </c>
      <c r="E83" s="109">
        <f ca="1"/>
        <v>65.739999999999995</v>
      </c>
      <c r="F83" s="109">
        <f ca="1"/>
        <v>66.077924749470299</v>
      </c>
      <c r="G83" s="109">
        <f t="shared" ca="1" si="70"/>
        <v>66.415849498940602</v>
      </c>
      <c r="H83" s="109">
        <f ca="1">_xll.qlBondYieldFromCleanPrice(N83,E83,YieldDayCounter,YieldCompounding,YieldFrequency)*100</f>
        <v>3.336419685135636</v>
      </c>
      <c r="I83" s="109">
        <f ca="1">_xll.qlBondYieldFromCleanPrice(O83,F83,YieldDayCounter,YieldCompounding,YieldFrequency)*100</f>
        <v>3.2949735683042589</v>
      </c>
      <c r="J83" s="109">
        <f ca="1">_xll.qlBondYieldFromCleanPrice(P83,G83,YieldDayCounter,YieldCompounding,YieldFrequency)*100</f>
        <v>3.2537553455308079</v>
      </c>
      <c r="K83" s="109">
        <f ca="1">_xll.qlBondDurationFromYield(O83,I83,YieldDayCounter,YieldCompounding,YieldFrequency,K$2)</f>
        <v>2.9757626477907153</v>
      </c>
      <c r="L83" s="109">
        <f ca="1">_xll.qlBondConvexityFromYield(O83,I83/100,YieldDayCounter,YieldCompounding,YieldFrequency)</f>
        <v>165.07280326085194</v>
      </c>
      <c r="M83" s="109" t="e">
        <f t="shared" ca="1" si="74"/>
        <v>#NAME?</v>
      </c>
      <c r="N83" s="109" t="str">
        <f>_xll.qlZeroCouponBond(,,"EUR",3,"target",100,$B83,"f",100,,,Trigger)</f>
        <v>obj_00398#0001</v>
      </c>
      <c r="O83" s="109" t="str">
        <f>_xll.qlZeroCouponBond(,,"EUR",3,"target",100,$B83,"f",100,,,Trigger)</f>
        <v>obj_00304#0001</v>
      </c>
      <c r="P83" s="109" t="str">
        <f>_xll.qlZeroCouponBond(,,"EUR",3,"target",100,$B83,"f",100,,,Trigger)</f>
        <v>obj_0029d#0001</v>
      </c>
      <c r="Q83" s="109">
        <f t="shared" ca="1" si="71"/>
        <v>65.739999999999995</v>
      </c>
      <c r="R83" s="109">
        <f t="shared" ref="R83" ca="1" si="89">Q83</f>
        <v>65.739999999999995</v>
      </c>
      <c r="S83" s="33" t="str">
        <f>IF(UPPER(S$1)="ABCD",_xll.RtContribute($D$3,$D83,$Q$3:$R$3,$Q83:$R83,"SCOPE:SERVER"),"--")</f>
        <v>--</v>
      </c>
      <c r="T83" s="33" t="str">
        <f t="shared" si="73"/>
        <v>EUR.PRICING.XLS_STRIPS.IT0003268882</v>
      </c>
      <c r="U83" s="33" t="str">
        <f>IF(UPPER($V$1)="ABCD",MKV_PUBLISHRECORD(T83, "XLS_STRIPS"),"--")</f>
        <v>--</v>
      </c>
      <c r="V83" s="33" t="str">
        <f>IF(UPPER(V$1)="ABCD",MKV_SUPPLYRECORD(T83, "Bid",E83, "Ask",G83, "Id",A83, "Mid",F83, "Name",C83,"DV01",M83,"MidYield",I83,"BidYield",H83,"AskYield",J83),"--")</f>
        <v>--</v>
      </c>
    </row>
    <row r="84" spans="1:22" x14ac:dyDescent="0.2">
      <c r="A84" s="72" t="s">
        <v>198</v>
      </c>
      <c r="B84" s="89">
        <v>46631</v>
      </c>
      <c r="C84" s="47" t="s">
        <v>199</v>
      </c>
      <c r="D84" s="47" t="s">
        <v>200</v>
      </c>
      <c r="E84" s="109">
        <f ca="1"/>
        <v>65.459999999999994</v>
      </c>
      <c r="F84" s="109">
        <f ca="1"/>
        <v>65.804185260206381</v>
      </c>
      <c r="G84" s="109">
        <f t="shared" ca="1" si="70"/>
        <v>66.148370520412769</v>
      </c>
      <c r="H84" s="109">
        <f ca="1">_xll.qlBondYieldFromCleanPrice(N84,E84,YieldDayCounter,YieldCompounding,YieldFrequency)*100</f>
        <v>3.3490395789966003</v>
      </c>
      <c r="I84" s="109">
        <f ca="1">_xll.qlBondYieldFromCleanPrice(O84,F84,YieldDayCounter,YieldCompounding,YieldFrequency)*100</f>
        <v>3.3069133794850103</v>
      </c>
      <c r="J84" s="109">
        <f ca="1">_xll.qlBondYieldFromCleanPrice(P84,G84,YieldDayCounter,YieldCompounding,YieldFrequency)*100</f>
        <v>3.2650239974546635</v>
      </c>
      <c r="K84" s="109">
        <f ca="1">_xll.qlBondDurationFromYield(O84,I84,YieldDayCounter,YieldCompounding,YieldFrequency,K$2)</f>
        <v>2.9865967957238562</v>
      </c>
      <c r="L84" s="109">
        <f ca="1">_xll.qlBondConvexityFromYield(O84,I84/100,YieldDayCounter,YieldCompounding,YieldFrequency)</f>
        <v>167.0865965841613</v>
      </c>
      <c r="M84" s="109" t="e">
        <f t="shared" ca="1" si="74"/>
        <v>#NAME?</v>
      </c>
      <c r="N84" s="109" t="str">
        <f>_xll.qlZeroCouponBond(,,"EUR",3,"target",100,$B84,"f",100,,,Trigger)</f>
        <v>obj_0035d#0001</v>
      </c>
      <c r="O84" s="109" t="str">
        <f>_xll.qlZeroCouponBond(,,"EUR",3,"target",100,$B84,"f",100,,,Trigger)</f>
        <v>obj_00310#0001</v>
      </c>
      <c r="P84" s="109" t="str">
        <f>_xll.qlZeroCouponBond(,,"EUR",3,"target",100,$B84,"f",100,,,Trigger)</f>
        <v>obj_002fb#0001</v>
      </c>
      <c r="Q84" s="109">
        <f t="shared" ca="1" si="71"/>
        <v>65.459999999999994</v>
      </c>
      <c r="R84" s="109">
        <f t="shared" ref="R84" ca="1" si="90">Q84</f>
        <v>65.459999999999994</v>
      </c>
      <c r="S84" s="33" t="str">
        <f>IF(UPPER(S$1)="ABCD",_xll.RtContribute($D$3,$D84,$Q$3:$R$3,$Q84:$R84,"SCOPE:SERVER"),"--")</f>
        <v>--</v>
      </c>
      <c r="T84" s="33" t="str">
        <f t="shared" si="73"/>
        <v>EUR.PRICING.XLS_STRIPS.IT0004976509</v>
      </c>
      <c r="U84" s="33" t="str">
        <f>IF(UPPER($V$1)="ABCD",MKV_PUBLISHRECORD(T84, "XLS_STRIPS"),"--")</f>
        <v>--</v>
      </c>
      <c r="V84" s="33" t="str">
        <f>IF(UPPER(V$1)="ABCD",MKV_SUPPLYRECORD(T84, "Bid",E84, "Ask",G84, "Id",A84, "Mid",F84, "Name",C84,"DV01",M84,"MidYield",I84,"BidYield",H84,"AskYield",J84),"--")</f>
        <v>--</v>
      </c>
    </row>
    <row r="85" spans="1:22" x14ac:dyDescent="0.2">
      <c r="A85" s="72" t="s">
        <v>429</v>
      </c>
      <c r="B85" s="89">
        <v>46692</v>
      </c>
      <c r="C85" s="47" t="s">
        <v>430</v>
      </c>
      <c r="D85" s="47" t="s">
        <v>431</v>
      </c>
      <c r="E85" s="109">
        <f ca="1"/>
        <v>64.94</v>
      </c>
      <c r="F85" s="109">
        <f ca="1"/>
        <v>65.287646678724727</v>
      </c>
      <c r="G85" s="109">
        <f t="shared" ca="1" si="70"/>
        <v>65.635293357449456</v>
      </c>
      <c r="H85" s="109">
        <f ca="1">_xll.qlBondYieldFromCleanPrice(N85,E85,YieldDayCounter,YieldCompounding,YieldFrequency)*100</f>
        <v>3.3686335982206521</v>
      </c>
      <c r="I85" s="109">
        <f ca="1">_xll.qlBondYieldFromCleanPrice(O85,F85,YieldDayCounter,YieldCompounding,YieldFrequency)*100</f>
        <v>3.3262871811370665</v>
      </c>
      <c r="J85" s="109">
        <f ca="1">_xll.qlBondYieldFromCleanPrice(P85,G85,YieldDayCounter,YieldCompounding,YieldFrequency)*100</f>
        <v>3.2841828487440954</v>
      </c>
      <c r="K85" s="109">
        <f ca="1">_xll.qlBondDurationFromYield(O85,I85,YieldDayCounter,YieldCompounding,YieldFrequency,K$2)</f>
        <v>3.0118520663893364</v>
      </c>
      <c r="L85" s="109">
        <f ca="1">_xll.qlBondConvexityFromYield(O85,I85/100,YieldDayCounter,YieldCompounding,YieldFrequency)</f>
        <v>171.23370139058716</v>
      </c>
      <c r="M85" s="109" t="e">
        <f t="shared" ca="1" si="74"/>
        <v>#NAME?</v>
      </c>
      <c r="N85" s="109" t="str">
        <f>_xll.qlZeroCouponBond(,,"EUR",3,"target",100,$B85,"f",100,,,Trigger)</f>
        <v>obj_00288#0001</v>
      </c>
      <c r="O85" s="109" t="str">
        <f>_xll.qlZeroCouponBond(,,"EUR",3,"target",100,$B85,"f",100,,,Trigger)</f>
        <v>obj_00355#0001</v>
      </c>
      <c r="P85" s="109" t="str">
        <f>_xll.qlZeroCouponBond(,,"EUR",3,"target",100,$B85,"f",100,,,Trigger)</f>
        <v>obj_00381#0001</v>
      </c>
      <c r="Q85" s="109">
        <f t="shared" ca="1" si="71"/>
        <v>64.94</v>
      </c>
      <c r="R85" s="109">
        <f t="shared" ref="R85" ca="1" si="91">Q85</f>
        <v>64.94</v>
      </c>
      <c r="S85" s="33" t="str">
        <f>IF(UPPER(S$1)="ABCD",_xll.RtContribute($D$3,$D85,$Q$3:$R$3,$Q85:$R85,"SCOPE:SERVER"),"--")</f>
        <v>--</v>
      </c>
      <c r="T85" s="33" t="str">
        <f t="shared" si="73"/>
        <v>EUR.PRICING.XLS_STRIPS.IT0004848476</v>
      </c>
      <c r="U85" s="33" t="str">
        <f>IF(UPPER($V$1)="ABCD",MKV_PUBLISHRECORD(T85, "XLS_STRIPS"),"--")</f>
        <v>--</v>
      </c>
      <c r="V85" s="33" t="str">
        <f>IF(UPPER(V$1)="ABCD",MKV_SUPPLYRECORD(T85, "Bid",E85, "Ask",G85, "Id",A85, "Mid",F85, "Name",C85,"DV01",M85,"MidYield",I85,"BidYield",H85,"AskYield",J85),"--")</f>
        <v>--</v>
      </c>
    </row>
    <row r="86" spans="1:22" x14ac:dyDescent="0.2">
      <c r="A86" s="72" t="s">
        <v>69</v>
      </c>
      <c r="B86" s="89">
        <v>46784</v>
      </c>
      <c r="C86" s="47" t="s">
        <v>432</v>
      </c>
      <c r="D86" s="47" t="s">
        <v>433</v>
      </c>
      <c r="E86" s="109">
        <f ca="1"/>
        <v>64.209999999999994</v>
      </c>
      <c r="F86" s="109">
        <f ca="1"/>
        <v>64.556168323632747</v>
      </c>
      <c r="G86" s="109">
        <f t="shared" ca="1" si="70"/>
        <v>64.9023366472655</v>
      </c>
      <c r="H86" s="109">
        <f ca="1">_xll.qlBondYieldFromCleanPrice(N86,E86,YieldDayCounter,YieldCompounding,YieldFrequency)*100</f>
        <v>3.3916247365251189</v>
      </c>
      <c r="I86" s="109">
        <f ca="1">_xll.qlBondYieldFromCleanPrice(O86,F86,YieldDayCounter,YieldCompounding,YieldFrequency)*100</f>
        <v>3.349779655605249</v>
      </c>
      <c r="J86" s="109">
        <f ca="1">_xll.qlBondYieldFromCleanPrice(P86,G86,YieldDayCounter,YieldCompounding,YieldFrequency)*100</f>
        <v>3.3081751781313007</v>
      </c>
      <c r="K86" s="109">
        <f ca="1">_xll.qlBondDurationFromYield(O86,I86,YieldDayCounter,YieldCompounding,YieldFrequency,K$2)</f>
        <v>3.053532094138633</v>
      </c>
      <c r="L86" s="109">
        <f ca="1">_xll.qlBondConvexityFromYield(O86,I86/100,YieldDayCounter,YieldCompounding,YieldFrequency)</f>
        <v>177.60103693161159</v>
      </c>
      <c r="M86" s="109" t="e">
        <f t="shared" ca="1" si="74"/>
        <v>#NAME?</v>
      </c>
      <c r="N86" s="109" t="str">
        <f>_xll.qlZeroCouponBond(,,"EUR",3,"target",100,$B86,"f",100,,,Trigger)</f>
        <v>obj_0029a#0001</v>
      </c>
      <c r="O86" s="109" t="str">
        <f>_xll.qlZeroCouponBond(,,"EUR",3,"target",100,$B86,"f",100,,,Trigger)</f>
        <v>obj_00382#0001</v>
      </c>
      <c r="P86" s="109" t="str">
        <f>_xll.qlZeroCouponBond(,,"EUR",3,"target",100,$B86,"f",100,,,Trigger)</f>
        <v>obj_00388#0001</v>
      </c>
      <c r="Q86" s="109">
        <f t="shared" ca="1" si="71"/>
        <v>64.209999999999994</v>
      </c>
      <c r="R86" s="109">
        <f t="shared" ref="R86" ca="1" si="92">Q86</f>
        <v>64.209999999999994</v>
      </c>
      <c r="S86" s="33" t="str">
        <f>IF(UPPER(S$1)="ABCD",_xll.RtContribute($D$3,$D86,$Q$3:$R$3,$Q86:$R86,"SCOPE:SERVER"),"--")</f>
        <v>--</v>
      </c>
      <c r="T86" s="33" t="str">
        <f t="shared" si="73"/>
        <v>EUR.PRICING.XLS_STRIPS.IT0003268890</v>
      </c>
      <c r="U86" s="33" t="str">
        <f>IF(UPPER($V$1)="ABCD",MKV_PUBLISHRECORD(T86, "XLS_STRIPS"),"--")</f>
        <v>--</v>
      </c>
      <c r="V86" s="33" t="str">
        <f>IF(UPPER(V$1)="ABCD",MKV_SUPPLYRECORD(T86, "Bid",E86, "Ask",G86, "Id",A86, "Mid",F86, "Name",C86,"DV01",M86,"MidYield",I86,"BidYield",H86,"AskYield",J86),"--")</f>
        <v>--</v>
      </c>
    </row>
    <row r="87" spans="1:22" x14ac:dyDescent="0.2">
      <c r="A87" s="72" t="s">
        <v>201</v>
      </c>
      <c r="B87" s="89">
        <v>46813</v>
      </c>
      <c r="C87" s="47" t="s">
        <v>202</v>
      </c>
      <c r="D87" s="47" t="s">
        <v>203</v>
      </c>
      <c r="E87" s="109">
        <f ca="1"/>
        <v>63.99</v>
      </c>
      <c r="F87" s="109">
        <f ca="1"/>
        <v>64.334279742077371</v>
      </c>
      <c r="G87" s="109">
        <f t="shared" ca="1" si="70"/>
        <v>64.678559484154732</v>
      </c>
      <c r="H87" s="109">
        <f ca="1">_xll.qlBondYieldFromCleanPrice(N87,E87,YieldDayCounter,YieldCompounding,YieldFrequency)*100</f>
        <v>3.3983853923901921</v>
      </c>
      <c r="I87" s="109">
        <f ca="1">_xll.qlBondYieldFromCleanPrice(O87,F87,YieldDayCounter,YieldCompounding,YieldFrequency)*100</f>
        <v>3.3568623263016351</v>
      </c>
      <c r="J87" s="109">
        <f ca="1">_xll.qlBondYieldFromCleanPrice(P87,G87,YieldDayCounter,YieldCompounding,YieldFrequency)*100</f>
        <v>3.3155774257885753</v>
      </c>
      <c r="K87" s="109">
        <f ca="1">_xll.qlBondDurationFromYield(O87,I87,YieldDayCounter,YieldCompounding,YieldFrequency,K$2)</f>
        <v>3.0661754053929164</v>
      </c>
      <c r="L87" s="109">
        <f ca="1">_xll.qlBondConvexityFromYield(O87,I87/100,YieldDayCounter,YieldCompounding,YieldFrequency)</f>
        <v>179.56161149612501</v>
      </c>
      <c r="M87" s="109" t="e">
        <f t="shared" ca="1" si="74"/>
        <v>#NAME?</v>
      </c>
      <c r="N87" s="109" t="str">
        <f>_xll.qlZeroCouponBond(,,"EUR",3,"target",100,$B87,"f",100,,,Trigger)</f>
        <v>obj_00342#0001</v>
      </c>
      <c r="O87" s="109" t="str">
        <f>_xll.qlZeroCouponBond(,,"EUR",3,"target",100,$B87,"f",100,,,Trigger)</f>
        <v>obj_002f5#0001</v>
      </c>
      <c r="P87" s="109" t="str">
        <f>_xll.qlZeroCouponBond(,,"EUR",3,"target",100,$B87,"f",100,,,Trigger)</f>
        <v>obj_0034a#0001</v>
      </c>
      <c r="Q87" s="109">
        <f t="shared" ca="1" si="71"/>
        <v>63.99</v>
      </c>
      <c r="R87" s="109">
        <f t="shared" ref="R87" ca="1" si="93">Q87</f>
        <v>63.99</v>
      </c>
      <c r="S87" s="33" t="str">
        <f>IF(UPPER(S$1)="ABCD",_xll.RtContribute($D$3,$D87,$Q$3:$R$3,$Q87:$R87,"SCOPE:SERVER"),"--")</f>
        <v>--</v>
      </c>
      <c r="T87" s="33" t="str">
        <f t="shared" si="73"/>
        <v>EUR.PRICING.XLS_STRIPS.IT0004976517</v>
      </c>
      <c r="U87" s="33" t="str">
        <f>IF(UPPER($V$1)="ABCD",MKV_PUBLISHRECORD(T87, "XLS_STRIPS"),"--")</f>
        <v>--</v>
      </c>
      <c r="V87" s="33" t="str">
        <f>IF(UPPER(V$1)="ABCD",MKV_SUPPLYRECORD(T87, "Bid",E87, "Ask",G87, "Id",A87, "Mid",F87, "Name",C87,"DV01",M87,"MidYield",I87,"BidYield",H87,"AskYield",J87),"--")</f>
        <v>--</v>
      </c>
    </row>
    <row r="88" spans="1:22" x14ac:dyDescent="0.2">
      <c r="A88" s="72" t="s">
        <v>70</v>
      </c>
      <c r="B88" s="89">
        <v>46874</v>
      </c>
      <c r="C88" s="47" t="s">
        <v>434</v>
      </c>
      <c r="D88" s="47" t="s">
        <v>435</v>
      </c>
      <c r="E88" s="109">
        <f ca="1"/>
        <v>63.53</v>
      </c>
      <c r="F88" s="109">
        <f ca="1"/>
        <v>63.875855573391604</v>
      </c>
      <c r="G88" s="109">
        <f t="shared" ca="1" si="70"/>
        <v>64.221711146783207</v>
      </c>
      <c r="H88" s="109">
        <f ca="1">_xll.qlBondYieldFromCleanPrice(N88,E88,YieldDayCounter,YieldCompounding,YieldFrequency)*100</f>
        <v>3.4101400563493369</v>
      </c>
      <c r="I88" s="109">
        <f ca="1">_xll.qlBondYieldFromCleanPrice(O88,F88,YieldDayCounter,YieldCompounding,YieldFrequency)*100</f>
        <v>3.3686490229889761</v>
      </c>
      <c r="J88" s="109">
        <f ca="1">_xll.qlBondYieldFromCleanPrice(P88,G88,YieldDayCounter,YieldCompounding,YieldFrequency)*100</f>
        <v>3.3273985539546276</v>
      </c>
      <c r="K88" s="109">
        <f ca="1">_xll.qlBondDurationFromYield(O88,I88,YieldDayCounter,YieldCompounding,YieldFrequency,K$2)</f>
        <v>3.0967850820919134</v>
      </c>
      <c r="L88" s="109">
        <f ca="1">_xll.qlBondConvexityFromYield(O88,I88/100,YieldDayCounter,YieldCompounding,YieldFrequency)</f>
        <v>183.95402854540237</v>
      </c>
      <c r="M88" s="109" t="e">
        <f t="shared" ca="1" si="74"/>
        <v>#NAME?</v>
      </c>
      <c r="N88" s="109" t="str">
        <f>_xll.qlZeroCouponBond(,,"EUR",3,"target",100,$B88,"f",100,,,Trigger)</f>
        <v>obj_002f6#0001</v>
      </c>
      <c r="O88" s="109" t="str">
        <f>_xll.qlZeroCouponBond(,,"EUR",3,"target",100,$B88,"f",100,,,Trigger)</f>
        <v>obj_0033d#0001</v>
      </c>
      <c r="P88" s="109" t="str">
        <f>_xll.qlZeroCouponBond(,,"EUR",3,"target",100,$B88,"f",100,,,Trigger)</f>
        <v>obj_003c5#0001</v>
      </c>
      <c r="Q88" s="109">
        <f t="shared" ca="1" si="71"/>
        <v>63.53</v>
      </c>
      <c r="R88" s="109">
        <f t="shared" ref="R88" ca="1" si="94">Q88</f>
        <v>63.53</v>
      </c>
      <c r="S88" s="33" t="str">
        <f>IF(UPPER(S$1)="ABCD",_xll.RtContribute($D$3,$D88,$Q$3:$R$3,$Q88:$R88,"SCOPE:SERVER"),"--")</f>
        <v>--</v>
      </c>
      <c r="T88" s="33" t="str">
        <f t="shared" si="73"/>
        <v>EUR.PRICING.XLS_STRIPS.IT0001312781</v>
      </c>
      <c r="U88" s="33" t="str">
        <f>IF(UPPER($V$1)="ABCD",MKV_PUBLISHRECORD(T88, "XLS_STRIPS"),"--")</f>
        <v>--</v>
      </c>
      <c r="V88" s="33" t="str">
        <f>IF(UPPER(V$1)="ABCD",MKV_SUPPLYRECORD(T88, "Bid",E88, "Ask",G88, "Id",A88, "Mid",F88, "Name",C88,"DV01",M88,"MidYield",I88,"BidYield",H88,"AskYield",J88),"--")</f>
        <v>--</v>
      </c>
    </row>
    <row r="89" spans="1:22" x14ac:dyDescent="0.2">
      <c r="A89" s="72" t="s">
        <v>71</v>
      </c>
      <c r="B89" s="89">
        <v>46966</v>
      </c>
      <c r="C89" s="47" t="s">
        <v>436</v>
      </c>
      <c r="D89" s="47" t="s">
        <v>437</v>
      </c>
      <c r="E89" s="109">
        <f ca="1"/>
        <v>62.84</v>
      </c>
      <c r="F89" s="109">
        <f ca="1"/>
        <v>63.192647537607648</v>
      </c>
      <c r="G89" s="109">
        <f t="shared" ca="1" si="70"/>
        <v>63.545295075215293</v>
      </c>
      <c r="H89" s="109">
        <f ca="1">_xll.qlBondYieldFromCleanPrice(N89,E89,YieldDayCounter,YieldCompounding,YieldFrequency)*100</f>
        <v>3.4293570364639177</v>
      </c>
      <c r="I89" s="109">
        <f ca="1">_xll.qlBondYieldFromCleanPrice(O89,F89,YieldDayCounter,YieldCompounding,YieldFrequency)*100</f>
        <v>3.3873564128655991</v>
      </c>
      <c r="J89" s="109">
        <f ca="1">_xll.qlBondYieldFromCleanPrice(P89,G89,YieldDayCounter,YieldCompounding,YieldFrequency)*100</f>
        <v>3.345606436096134</v>
      </c>
      <c r="K89" s="109">
        <f ca="1">_xll.qlBondDurationFromYield(O89,I89,YieldDayCounter,YieldCompounding,YieldFrequency,K$2)</f>
        <v>3.1404064076895173</v>
      </c>
      <c r="L89" s="109">
        <f ca="1">_xll.qlBondConvexityFromYield(O89,I89/100,YieldDayCounter,YieldCompounding,YieldFrequency)</f>
        <v>190.48991476487103</v>
      </c>
      <c r="M89" s="109" t="e">
        <f t="shared" ca="1" si="74"/>
        <v>#NAME?</v>
      </c>
      <c r="N89" s="109" t="str">
        <f>_xll.qlZeroCouponBond(,,"EUR",3,"target",100,$B89,"f",100,,,Trigger)</f>
        <v>obj_0034b#0001</v>
      </c>
      <c r="O89" s="109" t="str">
        <f>_xll.qlZeroCouponBond(,,"EUR",3,"target",100,$B89,"f",100,,,Trigger)</f>
        <v>obj_00371#0001</v>
      </c>
      <c r="P89" s="109" t="str">
        <f>_xll.qlZeroCouponBond(,,"EUR",3,"target",100,$B89,"f",100,,,Trigger)</f>
        <v>obj_002e5#0001</v>
      </c>
      <c r="Q89" s="109">
        <f t="shared" ca="1" si="71"/>
        <v>62.84</v>
      </c>
      <c r="R89" s="109">
        <f t="shared" ref="R89" ca="1" si="95">Q89</f>
        <v>62.84</v>
      </c>
      <c r="S89" s="33" t="str">
        <f>IF(UPPER(S$1)="ABCD",_xll.RtContribute($D$3,$D89,$Q$3:$R$3,$Q89:$R89,"SCOPE:SERVER"),"--")</f>
        <v>--</v>
      </c>
      <c r="T89" s="33" t="str">
        <f t="shared" si="73"/>
        <v>EUR.PRICING.XLS_STRIPS.IT0003268908</v>
      </c>
      <c r="U89" s="33" t="str">
        <f>IF(UPPER($V$1)="ABCD",MKV_PUBLISHRECORD(T89, "XLS_STRIPS"),"--")</f>
        <v>--</v>
      </c>
      <c r="V89" s="33" t="str">
        <f>IF(UPPER(V$1)="ABCD",MKV_SUPPLYRECORD(T89, "Bid",E89, "Ask",G89, "Id",A89, "Mid",F89, "Name",C89,"DV01",M89,"MidYield",I89,"BidYield",H89,"AskYield",J89),"--")</f>
        <v>--</v>
      </c>
    </row>
    <row r="90" spans="1:22" x14ac:dyDescent="0.2">
      <c r="A90" s="72" t="s">
        <v>204</v>
      </c>
      <c r="B90" s="89">
        <v>46997</v>
      </c>
      <c r="C90" s="47" t="s">
        <v>205</v>
      </c>
      <c r="D90" s="47" t="s">
        <v>206</v>
      </c>
      <c r="E90" s="109">
        <f ca="1"/>
        <v>62.61</v>
      </c>
      <c r="F90" s="109">
        <f ca="1"/>
        <v>62.961150668139986</v>
      </c>
      <c r="G90" s="109">
        <f t="shared" ca="1" si="70"/>
        <v>63.312301336279972</v>
      </c>
      <c r="H90" s="109">
        <f ca="1">_xll.qlBondYieldFromCleanPrice(N90,E90,YieldDayCounter,YieldCompounding,YieldFrequency)*100</f>
        <v>3.4353484623942254</v>
      </c>
      <c r="I90" s="109">
        <f ca="1">_xll.qlBondYieldFromCleanPrice(O90,F90,YieldDayCounter,YieldCompounding,YieldFrequency)*100</f>
        <v>3.3936270968243489</v>
      </c>
      <c r="J90" s="109">
        <f ca="1">_xll.qlBondYieldFromCleanPrice(P90,G90,YieldDayCounter,YieldCompounding,YieldFrequency)*100</f>
        <v>3.3521544596180326</v>
      </c>
      <c r="K90" s="109">
        <f ca="1">_xll.qlBondDurationFromYield(O90,I90,YieldDayCounter,YieldCompounding,YieldFrequency,K$2)</f>
        <v>3.1552549620449413</v>
      </c>
      <c r="L90" s="109">
        <f ca="1">_xll.qlBondConvexityFromYield(O90,I90/100,YieldDayCounter,YieldCompounding,YieldFrequency)</f>
        <v>192.74227853070249</v>
      </c>
      <c r="M90" s="109" t="e">
        <f t="shared" ca="1" si="74"/>
        <v>#NAME?</v>
      </c>
      <c r="N90" s="109" t="str">
        <f>_xll.qlZeroCouponBond(,,"EUR",3,"target",100,$B90,"f",100,,,Trigger)</f>
        <v>obj_0027d#0001</v>
      </c>
      <c r="O90" s="109" t="str">
        <f>_xll.qlZeroCouponBond(,,"EUR",3,"target",100,$B90,"f",100,,,Trigger)</f>
        <v>obj_003bd#0001</v>
      </c>
      <c r="P90" s="109" t="str">
        <f>_xll.qlZeroCouponBond(,,"EUR",3,"target",100,$B90,"f",100,,,Trigger)</f>
        <v>obj_0032f#0001</v>
      </c>
      <c r="Q90" s="109">
        <f t="shared" ca="1" si="71"/>
        <v>62.61</v>
      </c>
      <c r="R90" s="109">
        <f t="shared" ref="R90" ca="1" si="96">Q90</f>
        <v>62.61</v>
      </c>
      <c r="S90" s="33" t="str">
        <f>IF(UPPER(S$1)="ABCD",_xll.RtContribute($D$3,$D90,$Q$3:$R$3,$Q90:$R90,"SCOPE:SERVER"),"--")</f>
        <v>--</v>
      </c>
      <c r="T90" s="33" t="str">
        <f t="shared" si="73"/>
        <v>EUR.PRICING.XLS_STRIPS.IT0004976525</v>
      </c>
      <c r="U90" s="33" t="str">
        <f>IF(UPPER($V$1)="ABCD",MKV_PUBLISHRECORD(T90, "XLS_STRIPS"),"--")</f>
        <v>--</v>
      </c>
      <c r="V90" s="33" t="str">
        <f>IF(UPPER(V$1)="ABCD",MKV_SUPPLYRECORD(T90, "Bid",E90, "Ask",G90, "Id",A90, "Mid",F90, "Name",C90,"DV01",M90,"MidYield",I90,"BidYield",H90,"AskYield",J90),"--")</f>
        <v>--</v>
      </c>
    </row>
    <row r="91" spans="1:22" x14ac:dyDescent="0.2">
      <c r="A91" s="72" t="s">
        <v>72</v>
      </c>
      <c r="B91" s="89">
        <v>47058</v>
      </c>
      <c r="C91" s="47" t="s">
        <v>438</v>
      </c>
      <c r="D91" s="47" t="s">
        <v>439</v>
      </c>
      <c r="E91" s="109">
        <f ca="1"/>
        <v>62.15</v>
      </c>
      <c r="F91" s="109">
        <f ca="1"/>
        <v>62.500292002511003</v>
      </c>
      <c r="G91" s="109">
        <f t="shared" ca="1" si="70"/>
        <v>62.850584005022007</v>
      </c>
      <c r="H91" s="109">
        <f ca="1">_xll.qlBondYieldFromCleanPrice(N91,E91,YieldDayCounter,YieldCompounding,YieldFrequency)*100</f>
        <v>3.4480985622480516</v>
      </c>
      <c r="I91" s="109">
        <f ca="1">_xll.qlBondYieldFromCleanPrice(O91,F91,YieldDayCounter,YieldCompounding,YieldFrequency)*100</f>
        <v>3.4066660163179039</v>
      </c>
      <c r="J91" s="109">
        <f ca="1">_xll.qlBondYieldFromCleanPrice(P91,G91,YieldDayCounter,YieldCompounding,YieldFrequency)*100</f>
        <v>3.3654814840321552</v>
      </c>
      <c r="K91" s="109">
        <f ca="1">_xll.qlBondDurationFromYield(O91,I91,YieldDayCounter,YieldCompounding,YieldFrequency,K$2)</f>
        <v>3.1838439614773866</v>
      </c>
      <c r="L91" s="109">
        <f ca="1">_xll.qlBondConvexityFromYield(O91,I91/100,YieldDayCounter,YieldCompounding,YieldFrequency)</f>
        <v>197.2094755149439</v>
      </c>
      <c r="M91" s="109" t="e">
        <f t="shared" ca="1" si="74"/>
        <v>#NAME?</v>
      </c>
      <c r="N91" s="109" t="str">
        <f>_xll.qlZeroCouponBond(,,"EUR",3,"target",100,$B91,"f",100,,,Trigger)</f>
        <v>obj_0027c#0001</v>
      </c>
      <c r="O91" s="109" t="str">
        <f>_xll.qlZeroCouponBond(,,"EUR",3,"target",100,$B91,"f",100,,,Trigger)</f>
        <v>obj_00340#0001</v>
      </c>
      <c r="P91" s="109" t="str">
        <f>_xll.qlZeroCouponBond(,,"EUR",3,"target",100,$B91,"f",100,,,Trigger)</f>
        <v>obj_00257#0001</v>
      </c>
      <c r="Q91" s="109">
        <f t="shared" ca="1" si="71"/>
        <v>62.15</v>
      </c>
      <c r="R91" s="109">
        <f t="shared" ref="R91" ca="1" si="97">Q91</f>
        <v>62.15</v>
      </c>
      <c r="S91" s="33" t="str">
        <f>IF(UPPER(S$1)="ABCD",_xll.RtContribute($D$3,$D91,$Q$3:$R$3,$Q91:$R91,"SCOPE:SERVER"),"--")</f>
        <v>--</v>
      </c>
      <c r="T91" s="33" t="str">
        <f t="shared" si="73"/>
        <v>EUR.PRICING.XLS_STRIPS.IT0001312799</v>
      </c>
      <c r="U91" s="33" t="str">
        <f>IF(UPPER($V$1)="ABCD",MKV_PUBLISHRECORD(T91, "XLS_STRIPS"),"--")</f>
        <v>--</v>
      </c>
      <c r="V91" s="33" t="str">
        <f>IF(UPPER(V$1)="ABCD",MKV_SUPPLYRECORD(T91, "Bid",E91, "Ask",G91, "Id",A91, "Mid",F91, "Name",C91,"DV01",M91,"MidYield",I91,"BidYield",H91,"AskYield",J91),"--")</f>
        <v>--</v>
      </c>
    </row>
    <row r="92" spans="1:22" x14ac:dyDescent="0.2">
      <c r="A92" s="72" t="s">
        <v>73</v>
      </c>
      <c r="B92" s="89">
        <v>47150</v>
      </c>
      <c r="C92" s="47" t="s">
        <v>440</v>
      </c>
      <c r="D92" s="47" t="s">
        <v>441</v>
      </c>
      <c r="E92" s="109">
        <f ca="1"/>
        <v>61.44</v>
      </c>
      <c r="F92" s="109">
        <f ca="1"/>
        <v>61.79630227368915</v>
      </c>
      <c r="G92" s="109">
        <f t="shared" ca="1" si="70"/>
        <v>62.152604547378303</v>
      </c>
      <c r="H92" s="109">
        <f ca="1">_xll.qlBondYieldFromCleanPrice(N92,E92,YieldDayCounter,YieldCompounding,YieldFrequency)*100</f>
        <v>3.4694326614215969</v>
      </c>
      <c r="I92" s="109">
        <f ca="1">_xll.qlBondYieldFromCleanPrice(O92,F92,YieldDayCounter,YieldCompounding,YieldFrequency)*100</f>
        <v>3.4275494034215814</v>
      </c>
      <c r="J92" s="109">
        <f ca="1">_xll.qlBondYieldFromCleanPrice(P92,G92,YieldDayCounter,YieldCompounding,YieldFrequency)*100</f>
        <v>3.3859237584032518</v>
      </c>
      <c r="K92" s="109">
        <f ca="1">_xll.qlBondDurationFromYield(O92,I92,YieldDayCounter,YieldCompounding,YieldFrequency,K$2)</f>
        <v>3.2257554867224592</v>
      </c>
      <c r="L92" s="109">
        <f ca="1">_xll.qlBondConvexityFromYield(O92,I92/100,YieldDayCounter,YieldCompounding,YieldFrequency)</f>
        <v>204.03658053578332</v>
      </c>
      <c r="M92" s="109" t="e">
        <f t="shared" ca="1" si="74"/>
        <v>#NAME?</v>
      </c>
      <c r="N92" s="109" t="str">
        <f>_xll.qlZeroCouponBond(,,"EUR",3,"target",100,$B92,"f",100,,,Trigger)</f>
        <v>obj_0038c#0001</v>
      </c>
      <c r="O92" s="109" t="str">
        <f>_xll.qlZeroCouponBond(,,"EUR",3,"target",100,$B92,"f",100,,,Trigger)</f>
        <v>obj_00309#0001</v>
      </c>
      <c r="P92" s="109" t="str">
        <f>_xll.qlZeroCouponBond(,,"EUR",3,"target",100,$B92,"f",100,,,Trigger)</f>
        <v>obj_002b5#0001</v>
      </c>
      <c r="Q92" s="109">
        <f t="shared" ca="1" si="71"/>
        <v>61.44</v>
      </c>
      <c r="R92" s="109">
        <f t="shared" ref="R92" ca="1" si="98">Q92</f>
        <v>61.44</v>
      </c>
      <c r="S92" s="33" t="str">
        <f>IF(UPPER(S$1)="ABCD",_xll.RtContribute($D$3,$D92,$Q$3:$R$3,$Q92:$R92,"SCOPE:SERVER"),"--")</f>
        <v>--</v>
      </c>
      <c r="T92" s="33" t="str">
        <f t="shared" si="73"/>
        <v>EUR.PRICING.XLS_STRIPS.IT0003268924</v>
      </c>
      <c r="U92" s="33" t="str">
        <f>IF(UPPER($V$1)="ABCD",MKV_PUBLISHRECORD(T92, "XLS_STRIPS"),"--")</f>
        <v>--</v>
      </c>
      <c r="V92" s="33" t="str">
        <f>IF(UPPER(V$1)="ABCD",MKV_SUPPLYRECORD(T92, "Bid",E92, "Ask",G92, "Id",A92, "Mid",F92, "Name",C92,"DV01",M92,"MidYield",I92,"BidYield",H92,"AskYield",J92),"--")</f>
        <v>--</v>
      </c>
    </row>
    <row r="93" spans="1:22" x14ac:dyDescent="0.2">
      <c r="A93" s="72" t="s">
        <v>207</v>
      </c>
      <c r="B93" s="89">
        <v>47178</v>
      </c>
      <c r="C93" s="47" t="s">
        <v>208</v>
      </c>
      <c r="D93" s="47" t="s">
        <v>209</v>
      </c>
      <c r="E93" s="109">
        <f ca="1"/>
        <v>61.22</v>
      </c>
      <c r="F93" s="109">
        <f ca="1"/>
        <v>61.581169532469396</v>
      </c>
      <c r="G93" s="109">
        <f t="shared" ca="1" si="70"/>
        <v>61.942339064938793</v>
      </c>
      <c r="H93" s="109">
        <f ca="1">_xll.qlBondYieldFromCleanPrice(N93,E93,YieldDayCounter,YieldCompounding,YieldFrequency)*100</f>
        <v>3.4764284380152817</v>
      </c>
      <c r="I93" s="109">
        <f ca="1">_xll.qlBondYieldFromCleanPrice(O93,F93,YieldDayCounter,YieldCompounding,YieldFrequency)*100</f>
        <v>3.4340474513545645</v>
      </c>
      <c r="J93" s="109">
        <f ca="1">_xll.qlBondYieldFromCleanPrice(P93,G93,YieldDayCounter,YieldCompounding,YieldFrequency)*100</f>
        <v>3.3919315153732894</v>
      </c>
      <c r="K93" s="109">
        <f ca="1">_xll.qlBondDurationFromYield(O93,I93,YieldDayCounter,YieldCompounding,YieldFrequency,K$2)</f>
        <v>3.2383289234314612</v>
      </c>
      <c r="L93" s="109">
        <f ca="1">_xll.qlBondConvexityFromYield(O93,I93/100,YieldDayCounter,YieldCompounding,YieldFrequency)</f>
        <v>206.13630434044799</v>
      </c>
      <c r="M93" s="109" t="e">
        <f t="shared" ca="1" si="74"/>
        <v>#NAME?</v>
      </c>
      <c r="N93" s="109" t="str">
        <f>_xll.qlZeroCouponBond(,,"EUR",3,"target",100,$B93,"f",100,,,Trigger)</f>
        <v>obj_00283#0001</v>
      </c>
      <c r="O93" s="109" t="str">
        <f>_xll.qlZeroCouponBond(,,"EUR",3,"target",100,$B93,"f",100,,,Trigger)</f>
        <v>obj_003b2#0001</v>
      </c>
      <c r="P93" s="109" t="str">
        <f>_xll.qlZeroCouponBond(,,"EUR",3,"target",100,$B93,"f",100,,,Trigger)</f>
        <v>obj_00379#0001</v>
      </c>
      <c r="Q93" s="109">
        <f t="shared" ca="1" si="71"/>
        <v>61.22</v>
      </c>
      <c r="R93" s="109">
        <f t="shared" ref="R93" ca="1" si="99">Q93</f>
        <v>61.22</v>
      </c>
      <c r="S93" s="33" t="str">
        <f>IF(UPPER(S$1)="ABCD",_xll.RtContribute($D$3,$D93,$Q$3:$R$3,$Q93:$R93,"SCOPE:SERVER"),"--")</f>
        <v>--</v>
      </c>
      <c r="T93" s="33" t="str">
        <f t="shared" si="73"/>
        <v>EUR.PRICING.XLS_STRIPS.IT0004976533</v>
      </c>
      <c r="U93" s="33" t="str">
        <f>IF(UPPER($V$1)="ABCD",MKV_PUBLISHRECORD(T93, "XLS_STRIPS"),"--")</f>
        <v>--</v>
      </c>
      <c r="V93" s="33" t="str">
        <f>IF(UPPER(V$1)="ABCD",MKV_SUPPLYRECORD(T93, "Bid",E93, "Ask",G93, "Id",A93, "Mid",F93, "Name",C93,"DV01",M93,"MidYield",I93,"BidYield",H93,"AskYield",J93),"--")</f>
        <v>--</v>
      </c>
    </row>
    <row r="94" spans="1:22" x14ac:dyDescent="0.2">
      <c r="A94" s="72" t="s">
        <v>74</v>
      </c>
      <c r="B94" s="89">
        <v>47239</v>
      </c>
      <c r="C94" s="47" t="s">
        <v>442</v>
      </c>
      <c r="D94" s="47" t="s">
        <v>443</v>
      </c>
      <c r="E94" s="109">
        <f ca="1"/>
        <v>60.75</v>
      </c>
      <c r="F94" s="109">
        <f ca="1"/>
        <v>61.113044174277078</v>
      </c>
      <c r="G94" s="109">
        <f t="shared" ca="1" si="70"/>
        <v>61.476088348554157</v>
      </c>
      <c r="H94" s="109">
        <f ca="1">_xll.qlBondYieldFromCleanPrice(N94,E94,YieldDayCounter,YieldCompounding,YieldFrequency)*100</f>
        <v>3.4899757765149779</v>
      </c>
      <c r="I94" s="109">
        <f ca="1">_xll.qlBondYieldFromCleanPrice(O94,F94,YieldDayCounter,YieldCompounding,YieldFrequency)*100</f>
        <v>3.4475432168742293</v>
      </c>
      <c r="J94" s="109">
        <f ca="1">_xll.qlBondYieldFromCleanPrice(P94,G94,YieldDayCounter,YieldCompounding,YieldFrequency)*100</f>
        <v>3.4053792382560863</v>
      </c>
      <c r="K94" s="109">
        <f ca="1">_xll.qlBondDurationFromYield(O94,I94,YieldDayCounter,YieldCompounding,YieldFrequency,K$2)</f>
        <v>3.2666949852594374</v>
      </c>
      <c r="L94" s="109">
        <f ca="1">_xll.qlBondConvexityFromYield(O94,I94/100,YieldDayCounter,YieldCompounding,YieldFrequency)</f>
        <v>210.82658677918982</v>
      </c>
      <c r="M94" s="109" t="e">
        <f t="shared" ca="1" si="74"/>
        <v>#NAME?</v>
      </c>
      <c r="N94" s="109" t="str">
        <f>_xll.qlZeroCouponBond(,,"EUR",3,"target",100,$B94,"f",100,,,Trigger)</f>
        <v>obj_003a7#0001</v>
      </c>
      <c r="O94" s="109" t="str">
        <f>_xll.qlZeroCouponBond(,,"EUR",3,"target",100,$B94,"f",100,,,Trigger)</f>
        <v>obj_002ee#0001</v>
      </c>
      <c r="P94" s="109" t="str">
        <f>_xll.qlZeroCouponBond(,,"EUR",3,"target",100,$B94,"f",100,,,Trigger)</f>
        <v>obj_0038b#0001</v>
      </c>
      <c r="Q94" s="109">
        <f t="shared" ca="1" si="71"/>
        <v>60.75</v>
      </c>
      <c r="R94" s="109">
        <f t="shared" ref="R94" ca="1" si="100">Q94</f>
        <v>60.75</v>
      </c>
      <c r="S94" s="33" t="str">
        <f>IF(UPPER(S$1)="ABCD",_xll.RtContribute($D$3,$D94,$Q$3:$R$3,$Q94:$R94,"SCOPE:SERVER"),"--")</f>
        <v>--</v>
      </c>
      <c r="T94" s="33" t="str">
        <f t="shared" si="73"/>
        <v>EUR.PRICING.XLS_STRIPS.IT0001312807</v>
      </c>
      <c r="U94" s="33" t="str">
        <f>IF(UPPER($V$1)="ABCD",MKV_PUBLISHRECORD(T94, "XLS_STRIPS"),"--")</f>
        <v>--</v>
      </c>
      <c r="V94" s="33" t="str">
        <f>IF(UPPER(V$1)="ABCD",MKV_SUPPLYRECORD(T94, "Bid",E94, "Ask",G94, "Id",A94, "Mid",F94, "Name",C94,"DV01",M94,"MidYield",I94,"BidYield",H94,"AskYield",J94),"--")</f>
        <v>--</v>
      </c>
    </row>
    <row r="95" spans="1:22" x14ac:dyDescent="0.2">
      <c r="A95" s="72" t="s">
        <v>75</v>
      </c>
      <c r="B95" s="89">
        <v>47331</v>
      </c>
      <c r="C95" s="47" t="s">
        <v>444</v>
      </c>
      <c r="D95" s="47" t="s">
        <v>445</v>
      </c>
      <c r="E95" s="109">
        <f ca="1"/>
        <v>60.05</v>
      </c>
      <c r="F95" s="109">
        <f ca="1"/>
        <v>60.413401913959575</v>
      </c>
      <c r="G95" s="109">
        <f t="shared" ca="1" si="70"/>
        <v>60.776803827919153</v>
      </c>
      <c r="H95" s="109">
        <f ca="1">_xll.qlBondYieldFromCleanPrice(N95,E95,YieldDayCounter,YieldCompounding,YieldFrequency)*100</f>
        <v>3.5112451032797405</v>
      </c>
      <c r="I95" s="109">
        <f ca="1">_xll.qlBondYieldFromCleanPrice(O95,F95,YieldDayCounter,YieldCompounding,YieldFrequency)*100</f>
        <v>3.4689934024900309</v>
      </c>
      <c r="J95" s="109">
        <f ca="1">_xll.qlBondYieldFromCleanPrice(P95,G95,YieldDayCounter,YieldCompounding,YieldFrequency)*100</f>
        <v>3.4270121752843274</v>
      </c>
      <c r="K95" s="109">
        <f ca="1">_xll.qlBondDurationFromYield(O95,I95,YieldDayCounter,YieldCompounding,YieldFrequency,K$2)</f>
        <v>3.3068033135933432</v>
      </c>
      <c r="L95" s="109">
        <f ca="1">_xll.qlBondConvexityFromYield(O95,I95/100,YieldDayCounter,YieldCompounding,YieldFrequency)</f>
        <v>217.79697503576588</v>
      </c>
      <c r="M95" s="109" t="e">
        <f t="shared" ca="1" si="74"/>
        <v>#NAME?</v>
      </c>
      <c r="N95" s="109" t="str">
        <f>_xll.qlZeroCouponBond(,,"EUR",3,"target",100,$B95,"f",100,,,Trigger)</f>
        <v>obj_00242#0001</v>
      </c>
      <c r="O95" s="109" t="str">
        <f>_xll.qlZeroCouponBond(,,"EUR",3,"target",100,$B95,"f",100,,,Trigger)</f>
        <v>obj_00350#0001</v>
      </c>
      <c r="P95" s="109" t="str">
        <f>_xll.qlZeroCouponBond(,,"EUR",3,"target",100,$B95,"f",100,,,Trigger)</f>
        <v>obj_002d1#0001</v>
      </c>
      <c r="Q95" s="109">
        <f t="shared" ca="1" si="71"/>
        <v>60.05</v>
      </c>
      <c r="R95" s="109">
        <f t="shared" ref="R95" ca="1" si="101">Q95</f>
        <v>60.05</v>
      </c>
      <c r="S95" s="33" t="str">
        <f>IF(UPPER(S$1)="ABCD",_xll.RtContribute($D$3,$D95,$Q$3:$R$3,$Q95:$R95,"SCOPE:SERVER"),"--")</f>
        <v>--</v>
      </c>
      <c r="T95" s="33" t="str">
        <f t="shared" si="73"/>
        <v>EUR.PRICING.XLS_STRIPS.IT0003268932</v>
      </c>
      <c r="U95" s="33" t="str">
        <f>IF(UPPER($V$1)="ABCD",MKV_PUBLISHRECORD(T95, "XLS_STRIPS"),"--")</f>
        <v>--</v>
      </c>
      <c r="V95" s="33" t="str">
        <f>IF(UPPER(V$1)="ABCD",MKV_SUPPLYRECORD(T95, "Bid",E95, "Ask",G95, "Id",A95, "Mid",F95, "Name",C95,"DV01",M95,"MidYield",I95,"BidYield",H95,"AskYield",J95),"--")</f>
        <v>--</v>
      </c>
    </row>
    <row r="96" spans="1:22" x14ac:dyDescent="0.2">
      <c r="A96" s="72" t="s">
        <v>210</v>
      </c>
      <c r="B96" s="89">
        <v>47362</v>
      </c>
      <c r="C96" s="47" t="s">
        <v>211</v>
      </c>
      <c r="D96" s="47" t="s">
        <v>212</v>
      </c>
      <c r="E96" s="109">
        <f ca="1"/>
        <v>59.82</v>
      </c>
      <c r="F96" s="109">
        <f ca="1"/>
        <v>60.18070632393637</v>
      </c>
      <c r="G96" s="109">
        <f t="shared" ca="1" si="70"/>
        <v>60.54141264787274</v>
      </c>
      <c r="H96" s="109">
        <f ca="1">_xll.qlBondYieldFromCleanPrice(N96,E96,YieldDayCounter,YieldCompounding,YieldFrequency)*100</f>
        <v>3.5162396544590608</v>
      </c>
      <c r="I96" s="109">
        <f ca="1">_xll.qlBondYieldFromCleanPrice(O96,F96,YieldDayCounter,YieldCompounding,YieldFrequency)*100</f>
        <v>3.4743935539200894</v>
      </c>
      <c r="J96" s="109">
        <f ca="1">_xll.qlBondYieldFromCleanPrice(P96,G96,YieldDayCounter,YieldCompounding,YieldFrequency)*100</f>
        <v>3.4328142794754277</v>
      </c>
      <c r="K96" s="109">
        <f ca="1">_xll.qlBondDurationFromYield(O96,I96,YieldDayCounter,YieldCompounding,YieldFrequency,K$2)</f>
        <v>3.323018632918064</v>
      </c>
      <c r="L96" s="109">
        <f ca="1">_xll.qlBondConvexityFromYield(O96,I96/100,YieldDayCounter,YieldCompounding,YieldFrequency)</f>
        <v>220.36208168387995</v>
      </c>
      <c r="M96" s="109" t="e">
        <f t="shared" ca="1" si="74"/>
        <v>#NAME?</v>
      </c>
      <c r="N96" s="109" t="str">
        <f>_xll.qlZeroCouponBond(,,"EUR",3,"target",100,$B96,"f",100,,,Trigger)</f>
        <v>obj_00396#0001</v>
      </c>
      <c r="O96" s="109" t="str">
        <f>_xll.qlZeroCouponBond(,,"EUR",3,"target",100,$B96,"f",100,,,Trigger)</f>
        <v>obj_00248#0001</v>
      </c>
      <c r="P96" s="109" t="str">
        <f>_xll.qlZeroCouponBond(,,"EUR",3,"target",100,$B96,"f",100,,,Trigger)</f>
        <v>obj_002de#0001</v>
      </c>
      <c r="Q96" s="109">
        <f t="shared" ca="1" si="71"/>
        <v>59.82</v>
      </c>
      <c r="R96" s="109">
        <f t="shared" ref="R96" ca="1" si="102">Q96</f>
        <v>59.82</v>
      </c>
      <c r="S96" s="33" t="str">
        <f>IF(UPPER(S$1)="ABCD",_xll.RtContribute($D$3,$D96,$Q$3:$R$3,$Q96:$R96,"SCOPE:SERVER"),"--")</f>
        <v>--</v>
      </c>
      <c r="T96" s="33" t="str">
        <f t="shared" si="73"/>
        <v>EUR.PRICING.XLS_STRIPS.IT0004976541</v>
      </c>
      <c r="U96" s="33" t="str">
        <f>IF(UPPER($V$1)="ABCD",MKV_PUBLISHRECORD(T96, "XLS_STRIPS"),"--")</f>
        <v>--</v>
      </c>
      <c r="V96" s="33" t="str">
        <f>IF(UPPER(V$1)="ABCD",MKV_SUPPLYRECORD(T96, "Bid",E96, "Ask",G96, "Id",A96, "Mid",F96, "Name",C96,"DV01",M96,"MidYield",I96,"BidYield",H96,"AskYield",J96),"--")</f>
        <v>--</v>
      </c>
    </row>
    <row r="97" spans="1:22" x14ac:dyDescent="0.2">
      <c r="A97" s="72" t="s">
        <v>446</v>
      </c>
      <c r="B97" s="89">
        <v>47423</v>
      </c>
      <c r="C97" s="47" t="s">
        <v>447</v>
      </c>
      <c r="D97" s="47" t="s">
        <v>448</v>
      </c>
      <c r="E97" s="109">
        <f ca="1"/>
        <v>59.37</v>
      </c>
      <c r="F97" s="109">
        <f ca="1"/>
        <v>59.729205197807687</v>
      </c>
      <c r="G97" s="109">
        <f t="shared" ca="1" si="70"/>
        <v>60.088410395615377</v>
      </c>
      <c r="H97" s="109">
        <f ca="1">_xll.qlBondYieldFromCleanPrice(N97,E97,YieldDayCounter,YieldCompounding,YieldFrequency)*100</f>
        <v>3.5297730414196855</v>
      </c>
      <c r="I97" s="109">
        <f ca="1">_xll.qlBondYieldFromCleanPrice(O97,F97,YieldDayCounter,YieldCompounding,YieldFrequency)*100</f>
        <v>3.4882317323669172</v>
      </c>
      <c r="J97" s="109">
        <f ca="1">_xll.qlBondYieldFromCleanPrice(P97,G97,YieldDayCounter,YieldCompounding,YieldFrequency)*100</f>
        <v>3.4469560096642331</v>
      </c>
      <c r="K97" s="109">
        <f ca="1">_xll.qlBondDurationFromYield(O97,I97,YieldDayCounter,YieldCompounding,YieldFrequency,K$2)</f>
        <v>3.3487880935183059</v>
      </c>
      <c r="L97" s="109">
        <f ca="1">_xll.qlBondConvexityFromYield(O97,I97/100,YieldDayCounter,YieldCompounding,YieldFrequency)</f>
        <v>224.96670101280071</v>
      </c>
      <c r="M97" s="109" t="e">
        <f t="shared" ca="1" si="74"/>
        <v>#NAME?</v>
      </c>
      <c r="N97" s="109" t="str">
        <f>_xll.qlZeroCouponBond(,,"EUR",3,"target",100,$B97,"f",100,,,Trigger)</f>
        <v>obj_0023c#0001</v>
      </c>
      <c r="O97" s="109" t="str">
        <f>_xll.qlZeroCouponBond(,,"EUR",3,"target",100,$B97,"f",100,,,Trigger)</f>
        <v>obj_002fe#0001</v>
      </c>
      <c r="P97" s="109" t="str">
        <f>_xll.qlZeroCouponBond(,,"EUR",3,"target",100,$B97,"f",100,,,Trigger)</f>
        <v>obj_002a4#0001</v>
      </c>
      <c r="Q97" s="109">
        <f t="shared" ca="1" si="71"/>
        <v>59.37</v>
      </c>
      <c r="R97" s="109">
        <f t="shared" ref="R97" ca="1" si="103">Q97</f>
        <v>59.37</v>
      </c>
      <c r="S97" s="33" t="str">
        <f>IF(UPPER(S$1)="ABCD",_xll.RtContribute($D$3,$D97,$Q$3:$R$3,$Q97:$R97,"SCOPE:SERVER"),"--")</f>
        <v>--</v>
      </c>
      <c r="T97" s="33" t="str">
        <f t="shared" si="73"/>
        <v>EUR.PRICING.XLS_STRIPS.IT0004848484</v>
      </c>
      <c r="U97" s="33" t="str">
        <f>IF(UPPER($V$1)="ABCD",MKV_PUBLISHRECORD(T97, "XLS_STRIPS"),"--")</f>
        <v>--</v>
      </c>
      <c r="V97" s="33" t="str">
        <f>IF(UPPER(V$1)="ABCD",MKV_SUPPLYRECORD(T97, "Bid",E97, "Ask",G97, "Id",A97, "Mid",F97, "Name",C97,"DV01",M97,"MidYield",I97,"BidYield",H97,"AskYield",J97),"--")</f>
        <v>--</v>
      </c>
    </row>
    <row r="98" spans="1:22" x14ac:dyDescent="0.2">
      <c r="A98" s="72" t="s">
        <v>76</v>
      </c>
      <c r="B98" s="89">
        <v>47515</v>
      </c>
      <c r="C98" s="47" t="s">
        <v>449</v>
      </c>
      <c r="D98" s="47" t="s">
        <v>450</v>
      </c>
      <c r="E98" s="109">
        <f ca="1"/>
        <v>58.7</v>
      </c>
      <c r="F98" s="109">
        <f ca="1"/>
        <v>59.066451150603008</v>
      </c>
      <c r="G98" s="109">
        <f t="shared" ca="1" si="70"/>
        <v>59.432902301206013</v>
      </c>
      <c r="H98" s="109">
        <f ca="1">_xll.qlBondYieldFromCleanPrice(N98,E98,YieldDayCounter,YieldCompounding,YieldFrequency)*100</f>
        <v>3.5474275089752489</v>
      </c>
      <c r="I98" s="109">
        <f ca="1">_xll.qlBondYieldFromCleanPrice(O98,F98,YieldDayCounter,YieldCompounding,YieldFrequency)*100</f>
        <v>3.5052684321859005</v>
      </c>
      <c r="J98" s="109">
        <f ca="1">_xll.qlBondYieldFromCleanPrice(P98,G98,YieldDayCounter,YieldCompounding,YieldFrequency)*100</f>
        <v>3.4633871009573354</v>
      </c>
      <c r="K98" s="109">
        <f ca="1">_xll.qlBondDurationFromYield(O98,I98,YieldDayCounter,YieldCompounding,YieldFrequency,K$2)</f>
        <v>3.3920713073709545</v>
      </c>
      <c r="L98" s="109">
        <f ca="1">_xll.qlBondConvexityFromYield(O98,I98/100,YieldDayCounter,YieldCompounding,YieldFrequency)</f>
        <v>232.25956016384035</v>
      </c>
      <c r="M98" s="109" t="e">
        <f t="shared" ca="1" si="74"/>
        <v>#NAME?</v>
      </c>
      <c r="N98" s="109" t="str">
        <f>_xll.qlZeroCouponBond(,,"EUR",3,"target",100,$B98,"f",100,,,Trigger)</f>
        <v>obj_003c9#0001</v>
      </c>
      <c r="O98" s="109" t="str">
        <f>_xll.qlZeroCouponBond(,,"EUR",3,"target",100,$B98,"f",100,,,Trigger)</f>
        <v>obj_00228#0001</v>
      </c>
      <c r="P98" s="109" t="str">
        <f>_xll.qlZeroCouponBond(,,"EUR",3,"target",100,$B98,"f",100,,,Trigger)</f>
        <v>obj_0031b#0001</v>
      </c>
      <c r="Q98" s="109">
        <f t="shared" ca="1" si="71"/>
        <v>58.7</v>
      </c>
      <c r="R98" s="109">
        <f t="shared" ref="R98" ca="1" si="104">Q98</f>
        <v>58.7</v>
      </c>
      <c r="S98" s="33" t="str">
        <f>IF(UPPER(S$1)="ABCD",_xll.RtContribute($D$3,$D98,$Q$3:$R$3,$Q98:$R98,"SCOPE:SERVER"),"--")</f>
        <v>--</v>
      </c>
      <c r="T98" s="33" t="str">
        <f t="shared" si="73"/>
        <v>EUR.PRICING.XLS_STRIPS.IT0003268957</v>
      </c>
      <c r="U98" s="33" t="str">
        <f>IF(UPPER($V$1)="ABCD",MKV_PUBLISHRECORD(T98, "XLS_STRIPS"),"--")</f>
        <v>--</v>
      </c>
      <c r="V98" s="33" t="str">
        <f>IF(UPPER(V$1)="ABCD",MKV_SUPPLYRECORD(T98, "Bid",E98, "Ask",G98, "Id",A98, "Mid",F98, "Name",C98,"DV01",M98,"MidYield",I98,"BidYield",H98,"AskYield",J98),"--")</f>
        <v>--</v>
      </c>
    </row>
    <row r="99" spans="1:22" x14ac:dyDescent="0.2">
      <c r="A99" s="72" t="s">
        <v>213</v>
      </c>
      <c r="B99" s="89">
        <v>47543</v>
      </c>
      <c r="C99" s="47" t="s">
        <v>214</v>
      </c>
      <c r="D99" s="47" t="s">
        <v>215</v>
      </c>
      <c r="E99" s="109">
        <f ca="1"/>
        <v>58.5</v>
      </c>
      <c r="F99" s="109">
        <f ca="1"/>
        <v>58.868535697740867</v>
      </c>
      <c r="G99" s="109">
        <f t="shared" ca="1" si="70"/>
        <v>59.237071395481735</v>
      </c>
      <c r="H99" s="109">
        <f ca="1">_xll.qlBondYieldFromCleanPrice(N99,E99,YieldDayCounter,YieldCompounding,YieldFrequency)*100</f>
        <v>3.5524086086824531</v>
      </c>
      <c r="I99" s="109">
        <f ca="1">_xll.qlBondYieldFromCleanPrice(O99,F99,YieldDayCounter,YieldCompounding,YieldFrequency)*100</f>
        <v>3.5100764391943819</v>
      </c>
      <c r="J99" s="109">
        <f ca="1">_xll.qlBondYieldFromCleanPrice(P99,G99,YieldDayCounter,YieldCompounding,YieldFrequency)*100</f>
        <v>3.4680256072966125</v>
      </c>
      <c r="K99" s="109">
        <f ca="1">_xll.qlBondDurationFromYield(O99,I99,YieldDayCounter,YieldCompounding,YieldFrequency,K$2)</f>
        <v>3.405464256905709</v>
      </c>
      <c r="L99" s="109">
        <f ca="1">_xll.qlBondConvexityFromYield(O99,I99/100,YieldDayCounter,YieldCompounding,YieldFrequency)</f>
        <v>234.50341797089766</v>
      </c>
      <c r="M99" s="109" t="e">
        <f t="shared" ca="1" si="74"/>
        <v>#NAME?</v>
      </c>
      <c r="N99" s="109" t="str">
        <f>_xll.qlZeroCouponBond(,,"EUR",3,"target",100,$B99,"f",100,,,Trigger)</f>
        <v>obj_002a6#0001</v>
      </c>
      <c r="O99" s="109" t="str">
        <f>_xll.qlZeroCouponBond(,,"EUR",3,"target",100,$B99,"f",100,,,Trigger)</f>
        <v>obj_002c9#0001</v>
      </c>
      <c r="P99" s="109" t="str">
        <f>_xll.qlZeroCouponBond(,,"EUR",3,"target",100,$B99,"f",100,,,Trigger)</f>
        <v>obj_00344#0001</v>
      </c>
      <c r="Q99" s="109">
        <f t="shared" ca="1" si="71"/>
        <v>58.5</v>
      </c>
      <c r="R99" s="109">
        <f t="shared" ref="R99" ca="1" si="105">Q99</f>
        <v>58.5</v>
      </c>
      <c r="S99" s="33" t="str">
        <f>IF(UPPER(S$1)="ABCD",_xll.RtContribute($D$3,$D99,$Q$3:$R$3,$Q99:$R99,"SCOPE:SERVER"),"--")</f>
        <v>--</v>
      </c>
      <c r="T99" s="33" t="str">
        <f t="shared" si="73"/>
        <v>EUR.PRICING.XLS_STRIPS.IT0004976558</v>
      </c>
      <c r="U99" s="33" t="str">
        <f>IF(UPPER($V$1)="ABCD",MKV_PUBLISHRECORD(T99, "XLS_STRIPS"),"--")</f>
        <v>--</v>
      </c>
      <c r="V99" s="33" t="str">
        <f>IF(UPPER(V$1)="ABCD",MKV_SUPPLYRECORD(T99, "Bid",E99, "Ask",G99, "Id",A99, "Mid",F99, "Name",C99,"DV01",M99,"MidYield",I99,"BidYield",H99,"AskYield",J99),"--")</f>
        <v>--</v>
      </c>
    </row>
    <row r="100" spans="1:22" x14ac:dyDescent="0.2">
      <c r="A100" s="72" t="s">
        <v>77</v>
      </c>
      <c r="B100" s="89">
        <v>47604</v>
      </c>
      <c r="C100" s="47" t="s">
        <v>451</v>
      </c>
      <c r="D100" s="47" t="s">
        <v>452</v>
      </c>
      <c r="E100" s="109">
        <f ca="1"/>
        <v>58.08</v>
      </c>
      <c r="F100" s="109">
        <f ca="1"/>
        <v>58.442222603575225</v>
      </c>
      <c r="G100" s="109">
        <f t="shared" ref="G100:G131" ca="1" si="106">2*F100-E100</f>
        <v>58.804445207150451</v>
      </c>
      <c r="H100" s="109">
        <f ca="1">_xll.qlBondYieldFromCleanPrice(N100,E100,YieldDayCounter,YieldCompounding,YieldFrequency)*100</f>
        <v>3.560916951533355</v>
      </c>
      <c r="I100" s="109">
        <f ca="1">_xll.qlBondYieldFromCleanPrice(O100,F100,YieldDayCounter,YieldCompounding,YieldFrequency)*100</f>
        <v>3.5194626003020506</v>
      </c>
      <c r="J100" s="109">
        <f ca="1">_xll.qlBondYieldFromCleanPrice(P100,G100,YieldDayCounter,YieldCompounding,YieldFrequency)*100</f>
        <v>3.4782808211818339</v>
      </c>
      <c r="K100" s="109">
        <f ca="1">_xll.qlBondDurationFromYield(O100,I100,YieldDayCounter,YieldCompounding,YieldFrequency,K$2)</f>
        <v>3.4359764637171315</v>
      </c>
      <c r="L100" s="109">
        <f ca="1">_xll.qlBondConvexityFromYield(O100,I100/100,YieldDayCounter,YieldCompounding,YieldFrequency)</f>
        <v>239.51538795313337</v>
      </c>
      <c r="M100" s="109" t="e">
        <f t="shared" ca="1" si="74"/>
        <v>#NAME?</v>
      </c>
      <c r="N100" s="109" t="str">
        <f>_xll.qlZeroCouponBond(,,"EUR",3,"target",100,$B100,"f",100,,,Trigger)</f>
        <v>obj_00369#0001</v>
      </c>
      <c r="O100" s="109" t="str">
        <f>_xll.qlZeroCouponBond(,,"EUR",3,"target",100,$B100,"f",100,,,Trigger)</f>
        <v>obj_002e8#0001</v>
      </c>
      <c r="P100" s="109" t="str">
        <f>_xll.qlZeroCouponBond(,,"EUR",3,"target",100,$B100,"f",100,,,Trigger)</f>
        <v>obj_002fa#0001</v>
      </c>
      <c r="Q100" s="109">
        <f t="shared" ref="Q100:Q131" ca="1" si="107">E100</f>
        <v>58.08</v>
      </c>
      <c r="R100" s="109">
        <f t="shared" ref="R100" ca="1" si="108">Q100</f>
        <v>58.08</v>
      </c>
      <c r="S100" s="33" t="str">
        <f>IF(UPPER(S$1)="ABCD",_xll.RtContribute($D$3,$D100,$Q$3:$R$3,$Q100:$R100,"SCOPE:SERVER"),"--")</f>
        <v>--</v>
      </c>
      <c r="T100" s="33" t="str">
        <f t="shared" ref="T100:T131" si="109">T$3&amp;A100</f>
        <v>EUR.PRICING.XLS_STRIPS.IT0001464194</v>
      </c>
      <c r="U100" s="33" t="str">
        <f>IF(UPPER($V$1)="ABCD",MKV_PUBLISHRECORD(T100, "XLS_STRIPS"),"--")</f>
        <v>--</v>
      </c>
      <c r="V100" s="33" t="str">
        <f>IF(UPPER(V$1)="ABCD",MKV_SUPPLYRECORD(T100, "Bid",E100, "Ask",G100, "Id",A100, "Mid",F100, "Name",C100,"DV01",M100,"MidYield",I100,"BidYield",H100,"AskYield",J100),"--")</f>
        <v>--</v>
      </c>
    </row>
    <row r="101" spans="1:22" x14ac:dyDescent="0.2">
      <c r="A101" s="72" t="s">
        <v>78</v>
      </c>
      <c r="B101" s="89">
        <v>47696</v>
      </c>
      <c r="C101" s="47" t="s">
        <v>453</v>
      </c>
      <c r="D101" s="47" t="s">
        <v>454</v>
      </c>
      <c r="E101" s="109">
        <f ca="1"/>
        <v>57.44</v>
      </c>
      <c r="F101" s="109">
        <f ca="1"/>
        <v>57.808675775385623</v>
      </c>
      <c r="G101" s="109">
        <f t="shared" ca="1" si="106"/>
        <v>58.177351550771249</v>
      </c>
      <c r="H101" s="109">
        <f ca="1">_xll.qlBondYieldFromCleanPrice(N101,E101,YieldDayCounter,YieldCompounding,YieldFrequency)*100</f>
        <v>3.5763882044323418</v>
      </c>
      <c r="I101" s="109">
        <f ca="1">_xll.qlBondYieldFromCleanPrice(O101,F101,YieldDayCounter,YieldCompounding,YieldFrequency)*100</f>
        <v>3.5343969740268091</v>
      </c>
      <c r="J101" s="109">
        <f ca="1">_xll.qlBondYieldFromCleanPrice(P101,G101,YieldDayCounter,YieldCompounding,YieldFrequency)*100</f>
        <v>3.4926895553246142</v>
      </c>
      <c r="K101" s="109">
        <f ca="1">_xll.qlBondDurationFromYield(O101,I101,YieldDayCounter,YieldCompounding,YieldFrequency,K$2)</f>
        <v>3.4796428901479635</v>
      </c>
      <c r="L101" s="109">
        <f ca="1">_xll.qlBondConvexityFromYield(O101,I101/100,YieldDayCounter,YieldCompounding,YieldFrequency)</f>
        <v>246.96034033287518</v>
      </c>
      <c r="M101" s="109" t="e">
        <f t="shared" ca="1" si="74"/>
        <v>#NAME?</v>
      </c>
      <c r="N101" s="109" t="str">
        <f>_xll.qlZeroCouponBond(,,"EUR",3,"target",100,$B101,"f",100,,,Trigger)</f>
        <v>obj_00354#0001</v>
      </c>
      <c r="O101" s="109" t="str">
        <f>_xll.qlZeroCouponBond(,,"EUR",3,"target",100,$B101,"f",100,,,Trigger)</f>
        <v>obj_002ac#0001</v>
      </c>
      <c r="P101" s="109" t="str">
        <f>_xll.qlZeroCouponBond(,,"EUR",3,"target",100,$B101,"f",100,,,Trigger)</f>
        <v>obj_0029c#0001</v>
      </c>
      <c r="Q101" s="109">
        <f t="shared" ca="1" si="107"/>
        <v>57.44</v>
      </c>
      <c r="R101" s="109">
        <f t="shared" ref="R101" ca="1" si="110">Q101</f>
        <v>57.44</v>
      </c>
      <c r="S101" s="33" t="str">
        <f>IF(UPPER(S$1)="ABCD",_xll.RtContribute($D$3,$D101,$Q$3:$R$3,$Q101:$R101,"SCOPE:SERVER"),"--")</f>
        <v>--</v>
      </c>
      <c r="T101" s="33" t="str">
        <f t="shared" si="109"/>
        <v>EUR.PRICING.XLS_STRIPS.IT0003268973</v>
      </c>
      <c r="U101" s="33" t="str">
        <f>IF(UPPER($V$1)="ABCD",MKV_PUBLISHRECORD(T101, "XLS_STRIPS"),"--")</f>
        <v>--</v>
      </c>
      <c r="V101" s="33" t="str">
        <f>IF(UPPER(V$1)="ABCD",MKV_SUPPLYRECORD(T101, "Bid",E101, "Ask",G101, "Id",A101, "Mid",F101, "Name",C101,"DV01",M101,"MidYield",I101,"BidYield",H101,"AskYield",J101),"--")</f>
        <v>--</v>
      </c>
    </row>
    <row r="102" spans="1:22" x14ac:dyDescent="0.2">
      <c r="A102" s="72" t="s">
        <v>216</v>
      </c>
      <c r="B102" s="89">
        <v>47727</v>
      </c>
      <c r="C102" s="47" t="s">
        <v>217</v>
      </c>
      <c r="D102" s="47" t="s">
        <v>218</v>
      </c>
      <c r="E102" s="109">
        <f ca="1"/>
        <v>57.23</v>
      </c>
      <c r="F102" s="109">
        <f ca="1"/>
        <v>57.596893859250876</v>
      </c>
      <c r="G102" s="109">
        <f t="shared" ca="1" si="106"/>
        <v>57.963787718501756</v>
      </c>
      <c r="H102" s="109">
        <f ca="1">_xll.qlBondYieldFromCleanPrice(N102,E102,YieldDayCounter,YieldCompounding,YieldFrequency)*100</f>
        <v>3.5801876826956875</v>
      </c>
      <c r="I102" s="109">
        <f ca="1">_xll.qlBondYieldFromCleanPrice(O102,F102,YieldDayCounter,YieldCompounding,YieldFrequency)*100</f>
        <v>3.5384760815004515</v>
      </c>
      <c r="J102" s="109">
        <f ca="1">_xll.qlBondYieldFromCleanPrice(P102,G102,YieldDayCounter,YieldCompounding,YieldFrequency)*100</f>
        <v>3.4970459937676792</v>
      </c>
      <c r="K102" s="109">
        <f ca="1">_xll.qlBondDurationFromYield(O102,I102,YieldDayCounter,YieldCompounding,YieldFrequency,K$2)</f>
        <v>3.4958327728835812</v>
      </c>
      <c r="L102" s="109">
        <f ca="1">_xll.qlBondConvexityFromYield(O102,I102/100,YieldDayCounter,YieldCompounding,YieldFrequency)</f>
        <v>249.61053436408758</v>
      </c>
      <c r="M102" s="109" t="e">
        <f t="shared" ca="1" si="74"/>
        <v>#NAME?</v>
      </c>
      <c r="N102" s="109" t="str">
        <f>_xll.qlZeroCouponBond(,,"EUR",3,"target",100,$B102,"f",100,,,Trigger)</f>
        <v>obj_0032c#0001</v>
      </c>
      <c r="O102" s="109" t="str">
        <f>_xll.qlZeroCouponBond(,,"EUR",3,"target",100,$B102,"f",100,,,Trigger)</f>
        <v>obj_00328#0001</v>
      </c>
      <c r="P102" s="109" t="str">
        <f>_xll.qlZeroCouponBond(,,"EUR",3,"target",100,$B102,"f",100,,,Trigger)</f>
        <v>obj_003b1#0001</v>
      </c>
      <c r="Q102" s="109">
        <f t="shared" ca="1" si="107"/>
        <v>57.23</v>
      </c>
      <c r="R102" s="109">
        <f t="shared" ref="R102" ca="1" si="111">Q102</f>
        <v>57.23</v>
      </c>
      <c r="S102" s="33" t="str">
        <f>IF(UPPER(S$1)="ABCD",_xll.RtContribute($D$3,$D102,$Q$3:$R$3,$Q102:$R102,"SCOPE:SERVER"),"--")</f>
        <v>--</v>
      </c>
      <c r="T102" s="33" t="str">
        <f t="shared" si="109"/>
        <v>EUR.PRICING.XLS_STRIPS.IT0004976566</v>
      </c>
      <c r="U102" s="33" t="str">
        <f>IF(UPPER($V$1)="ABCD",MKV_PUBLISHRECORD(T102, "XLS_STRIPS"),"--")</f>
        <v>--</v>
      </c>
      <c r="V102" s="33" t="str">
        <f>IF(UPPER(V$1)="ABCD",MKV_SUPPLYRECORD(T102, "Bid",E102, "Ask",G102, "Id",A102, "Mid",F102, "Name",C102,"DV01",M102,"MidYield",I102,"BidYield",H102,"AskYield",J102),"--")</f>
        <v>--</v>
      </c>
    </row>
    <row r="103" spans="1:22" x14ac:dyDescent="0.2">
      <c r="A103" s="72" t="s">
        <v>79</v>
      </c>
      <c r="B103" s="89">
        <v>47788</v>
      </c>
      <c r="C103" s="47" t="s">
        <v>455</v>
      </c>
      <c r="D103" s="47" t="s">
        <v>456</v>
      </c>
      <c r="E103" s="109">
        <f ca="1"/>
        <v>56.81</v>
      </c>
      <c r="F103" s="109">
        <f ca="1"/>
        <v>57.181434593452288</v>
      </c>
      <c r="G103" s="109">
        <f t="shared" ca="1" si="106"/>
        <v>57.552869186904573</v>
      </c>
      <c r="H103" s="109">
        <f ca="1">_xll.qlBondYieldFromCleanPrice(N103,E103,YieldDayCounter,YieldCompounding,YieldFrequency)*100</f>
        <v>3.590420326180757</v>
      </c>
      <c r="I103" s="109">
        <f ca="1">_xll.qlBondYieldFromCleanPrice(O103,F103,YieldDayCounter,YieldCompounding,YieldFrequency)*100</f>
        <v>3.5483151307329539</v>
      </c>
      <c r="J103" s="109">
        <f ca="1">_xll.qlBondYieldFromCleanPrice(P103,G103,YieldDayCounter,YieldCompounding,YieldFrequency)*100</f>
        <v>3.5064995008817115</v>
      </c>
      <c r="K103" s="109">
        <f ca="1">_xll.qlBondDurationFromYield(O103,I103,YieldDayCounter,YieldCompounding,YieldFrequency,K$2)</f>
        <v>3.5244121230707557</v>
      </c>
      <c r="L103" s="109">
        <f ca="1">_xll.qlBondConvexityFromYield(O103,I103/100,YieldDayCounter,YieldCompounding,YieldFrequency)</f>
        <v>254.60639136628924</v>
      </c>
      <c r="M103" s="109" t="e">
        <f t="shared" ca="1" si="74"/>
        <v>#NAME?</v>
      </c>
      <c r="N103" s="109" t="str">
        <f>_xll.qlZeroCouponBond(,,"EUR",3,"target",100,$B103,"f",100,,,Trigger)</f>
        <v>obj_00226#0001</v>
      </c>
      <c r="O103" s="109" t="str">
        <f>_xll.qlZeroCouponBond(,,"EUR",3,"target",100,$B103,"f",100,,,Trigger)</f>
        <v>obj_00359#0001</v>
      </c>
      <c r="P103" s="109" t="str">
        <f>_xll.qlZeroCouponBond(,,"EUR",3,"target",100,$B103,"f",100,,,Trigger)</f>
        <v>obj_00233#0001</v>
      </c>
      <c r="Q103" s="109">
        <f t="shared" ca="1" si="107"/>
        <v>56.81</v>
      </c>
      <c r="R103" s="109">
        <f t="shared" ref="R103" ca="1" si="112">Q103</f>
        <v>56.81</v>
      </c>
      <c r="S103" s="33" t="str">
        <f>IF(UPPER(S$1)="ABCD",_xll.RtContribute($D$3,$D103,$Q$3:$R$3,$Q103:$R103,"SCOPE:SERVER"),"--")</f>
        <v>--</v>
      </c>
      <c r="T103" s="33" t="str">
        <f t="shared" si="109"/>
        <v>EUR.PRICING.XLS_STRIPS.IT0001464202</v>
      </c>
      <c r="U103" s="33" t="str">
        <f>IF(UPPER($V$1)="ABCD",MKV_PUBLISHRECORD(T103, "XLS_STRIPS"),"--")</f>
        <v>--</v>
      </c>
      <c r="V103" s="33" t="str">
        <f>IF(UPPER(V$1)="ABCD",MKV_SUPPLYRECORD(T103, "Bid",E103, "Ask",G103, "Id",A103, "Mid",F103, "Name",C103,"DV01",M103,"MidYield",I103,"BidYield",H103,"AskYield",J103),"--")</f>
        <v>--</v>
      </c>
    </row>
    <row r="104" spans="1:22" x14ac:dyDescent="0.2">
      <c r="A104" s="72" t="s">
        <v>80</v>
      </c>
      <c r="B104" s="89">
        <v>47880</v>
      </c>
      <c r="C104" s="47" t="s">
        <v>457</v>
      </c>
      <c r="D104" s="47" t="s">
        <v>458</v>
      </c>
      <c r="E104" s="109">
        <f ca="1"/>
        <v>56.18</v>
      </c>
      <c r="F104" s="109">
        <f ca="1"/>
        <v>56.555064346726191</v>
      </c>
      <c r="G104" s="109">
        <f t="shared" ca="1" si="106"/>
        <v>56.930128693452382</v>
      </c>
      <c r="H104" s="109">
        <f ca="1">_xll.qlBondYieldFromCleanPrice(N104,E104,YieldDayCounter,YieldCompounding,YieldFrequency)*100</f>
        <v>3.6035680857357852</v>
      </c>
      <c r="I104" s="109">
        <f ca="1">_xll.qlBondYieldFromCleanPrice(O104,F104,YieldDayCounter,YieldCompounding,YieldFrequency)*100</f>
        <v>3.5612520088627933</v>
      </c>
      <c r="J104" s="109">
        <f ca="1">_xll.qlBondYieldFromCleanPrice(P104,G104,YieldDayCounter,YieldCompounding,YieldFrequency)*100</f>
        <v>3.5192327478015</v>
      </c>
      <c r="K104" s="109">
        <f ca="1">_xll.qlBondDurationFromYield(O104,I104,YieldDayCounter,YieldCompounding,YieldFrequency,K$2)</f>
        <v>3.5708772944859808</v>
      </c>
      <c r="L104" s="109">
        <f ca="1">_xll.qlBondConvexityFromYield(O104,I104/100,YieldDayCounter,YieldCompounding,YieldFrequency)</f>
        <v>262.54327890475309</v>
      </c>
      <c r="M104" s="109" t="e">
        <f t="shared" ca="1" si="74"/>
        <v>#NAME?</v>
      </c>
      <c r="N104" s="109" t="str">
        <f>_xll.qlZeroCouponBond(,,"EUR",3,"target",100,$B104,"f",100,,,Trigger)</f>
        <v>obj_0025e#0001</v>
      </c>
      <c r="O104" s="109" t="str">
        <f>_xll.qlZeroCouponBond(,,"EUR",3,"target",100,$B104,"f",100,,,Trigger)</f>
        <v>obj_002b1#0001</v>
      </c>
      <c r="P104" s="109" t="str">
        <f>_xll.qlZeroCouponBond(,,"EUR",3,"target",100,$B104,"f",100,,,Trigger)</f>
        <v>obj_00300#0001</v>
      </c>
      <c r="Q104" s="109">
        <f t="shared" ca="1" si="107"/>
        <v>56.18</v>
      </c>
      <c r="R104" s="109">
        <f t="shared" ref="R104" ca="1" si="113">Q104</f>
        <v>56.18</v>
      </c>
      <c r="S104" s="33" t="str">
        <f>IF(UPPER(S$1)="ABCD",_xll.RtContribute($D$3,$D104,$Q$3:$R$3,$Q104:$R104,"SCOPE:SERVER"),"--")</f>
        <v>--</v>
      </c>
      <c r="T104" s="33" t="str">
        <f t="shared" si="109"/>
        <v>EUR.PRICING.XLS_STRIPS.IT0003268999</v>
      </c>
      <c r="U104" s="33" t="str">
        <f>IF(UPPER($V$1)="ABCD",MKV_PUBLISHRECORD(T104, "XLS_STRIPS"),"--")</f>
        <v>--</v>
      </c>
      <c r="V104" s="33" t="str">
        <f>IF(UPPER(V$1)="ABCD",MKV_SUPPLYRECORD(T104, "Bid",E104, "Ask",G104, "Id",A104, "Mid",F104, "Name",C104,"DV01",M104,"MidYield",I104,"BidYield",H104,"AskYield",J104),"--")</f>
        <v>--</v>
      </c>
    </row>
    <row r="105" spans="1:22" x14ac:dyDescent="0.2">
      <c r="A105" s="72" t="s">
        <v>219</v>
      </c>
      <c r="B105" s="89">
        <v>47908</v>
      </c>
      <c r="C105" s="47" t="s">
        <v>220</v>
      </c>
      <c r="D105" s="47" t="s">
        <v>221</v>
      </c>
      <c r="E105" s="109">
        <f ca="1"/>
        <v>55.99</v>
      </c>
      <c r="F105" s="109">
        <f ca="1"/>
        <v>56.363804095299216</v>
      </c>
      <c r="G105" s="109">
        <f t="shared" ca="1" si="106"/>
        <v>56.737608190598429</v>
      </c>
      <c r="H105" s="109">
        <f ca="1">_xll.qlBondYieldFromCleanPrice(N105,E105,YieldDayCounter,YieldCompounding,YieldFrequency)*100</f>
        <v>3.6078225087001927</v>
      </c>
      <c r="I105" s="109">
        <f ca="1">_xll.qlBondYieldFromCleanPrice(O105,F105,YieldDayCounter,YieldCompounding,YieldFrequency)*100</f>
        <v>3.5657021027430886</v>
      </c>
      <c r="J105" s="109">
        <f ca="1">_xll.qlBondYieldFromCleanPrice(P105,G105,YieldDayCounter,YieldCompounding,YieldFrequency)*100</f>
        <v>3.523877083310667</v>
      </c>
      <c r="K105" s="109">
        <f ca="1">_xll.qlBondDurationFromYield(O105,I105,YieldDayCounter,YieldCompounding,YieldFrequency,K$2)</f>
        <v>3.5841987044691463</v>
      </c>
      <c r="L105" s="109">
        <f ca="1">_xll.qlBondConvexityFromYield(O105,I105/100,YieldDayCounter,YieldCompounding,YieldFrequency)</f>
        <v>264.92754389539783</v>
      </c>
      <c r="M105" s="109" t="e">
        <f t="shared" ca="1" si="74"/>
        <v>#NAME?</v>
      </c>
      <c r="N105" s="109" t="str">
        <f>_xll.qlZeroCouponBond(,,"EUR",3,"target",100,$B105,"f",100,,,Trigger)</f>
        <v>obj_00305#0001</v>
      </c>
      <c r="O105" s="109" t="str">
        <f>_xll.qlZeroCouponBond(,,"EUR",3,"target",100,$B105,"f",100,,,Trigger)</f>
        <v>obj_00385#0001</v>
      </c>
      <c r="P105" s="109" t="str">
        <f>_xll.qlZeroCouponBond(,,"EUR",3,"target",100,$B105,"f",100,,,Trigger)</f>
        <v>obj_002a8#0001</v>
      </c>
      <c r="Q105" s="109">
        <f t="shared" ca="1" si="107"/>
        <v>55.99</v>
      </c>
      <c r="R105" s="109">
        <f t="shared" ref="R105" ca="1" si="114">Q105</f>
        <v>55.99</v>
      </c>
      <c r="S105" s="33" t="str">
        <f>IF(UPPER(S$1)="ABCD",_xll.RtContribute($D$3,$D105,$Q$3:$R$3,$Q105:$R105,"SCOPE:SERVER"),"--")</f>
        <v>--</v>
      </c>
      <c r="T105" s="33" t="str">
        <f t="shared" si="109"/>
        <v>EUR.PRICING.XLS_STRIPS.IT0004976574</v>
      </c>
      <c r="U105" s="33" t="str">
        <f>IF(UPPER($V$1)="ABCD",MKV_PUBLISHRECORD(T105, "XLS_STRIPS"),"--")</f>
        <v>--</v>
      </c>
      <c r="V105" s="33" t="str">
        <f>IF(UPPER(V$1)="ABCD",MKV_SUPPLYRECORD(T105, "Bid",E105, "Ask",G105, "Id",A105, "Mid",F105, "Name",C105,"DV01",M105,"MidYield",I105,"BidYield",H105,"AskYield",J105),"--")</f>
        <v>--</v>
      </c>
    </row>
    <row r="106" spans="1:22" x14ac:dyDescent="0.2">
      <c r="A106" s="72" t="s">
        <v>459</v>
      </c>
      <c r="B106" s="89">
        <v>47969</v>
      </c>
      <c r="C106" s="47" t="s">
        <v>460</v>
      </c>
      <c r="D106" s="47" t="s">
        <v>461</v>
      </c>
      <c r="E106" s="109">
        <f ca="1"/>
        <v>55.57</v>
      </c>
      <c r="F106" s="109">
        <f ca="1"/>
        <v>55.945054011883265</v>
      </c>
      <c r="G106" s="109">
        <f t="shared" ca="1" si="106"/>
        <v>56.320108023766529</v>
      </c>
      <c r="H106" s="109">
        <f ca="1">_xll.qlBondYieldFromCleanPrice(N106,E106,YieldDayCounter,YieldCompounding,YieldFrequency)*100</f>
        <v>3.6185007017478359</v>
      </c>
      <c r="I106" s="109">
        <f ca="1">_xll.qlBondYieldFromCleanPrice(O106,F106,YieldDayCounter,YieldCompounding,YieldFrequency)*100</f>
        <v>3.5763407207652933</v>
      </c>
      <c r="J106" s="109">
        <f ca="1">_xll.qlBondYieldFromCleanPrice(P106,G106,YieldDayCounter,YieldCompounding,YieldFrequency)*100</f>
        <v>3.5344794207871537</v>
      </c>
      <c r="K106" s="109">
        <f ca="1">_xll.qlBondDurationFromYield(O106,I106,YieldDayCounter,YieldCompounding,YieldFrequency,K$2)</f>
        <v>3.6117868252876932</v>
      </c>
      <c r="L106" s="109">
        <f ca="1">_xll.qlBondConvexityFromYield(O106,I106/100,YieldDayCounter,YieldCompounding,YieldFrequency)</f>
        <v>270.06649301763554</v>
      </c>
      <c r="M106" s="109" t="e">
        <f t="shared" ca="1" si="74"/>
        <v>#NAME?</v>
      </c>
      <c r="N106" s="109" t="str">
        <f>_xll.qlZeroCouponBond(,,"EUR",3,"target",100,$B106,"f",100,,,Trigger)</f>
        <v>obj_0022f#0001</v>
      </c>
      <c r="O106" s="109" t="str">
        <f>_xll.qlZeroCouponBond(,,"EUR",3,"target",100,$B106,"f",100,,,Trigger)</f>
        <v>obj_002bc#0001</v>
      </c>
      <c r="P106" s="109" t="str">
        <f>_xll.qlZeroCouponBond(,,"EUR",3,"target",100,$B106,"f",100,,,Trigger)</f>
        <v>obj_002c5#0001</v>
      </c>
      <c r="Q106" s="109">
        <f t="shared" ca="1" si="107"/>
        <v>55.57</v>
      </c>
      <c r="R106" s="109">
        <f t="shared" ref="R106" ca="1" si="115">Q106</f>
        <v>55.57</v>
      </c>
      <c r="S106" s="33" t="str">
        <f>IF(UPPER(S$1)="ABCD",_xll.RtContribute($D$3,$D106,$Q$3:$R$3,$Q106:$R106,"SCOPE:SERVER"),"--")</f>
        <v>--</v>
      </c>
      <c r="T106" s="33" t="str">
        <f t="shared" si="109"/>
        <v>EUR.PRICING.XLS_STRIPS.IT0004848492</v>
      </c>
      <c r="U106" s="33" t="str">
        <f>IF(UPPER($V$1)="ABCD",MKV_PUBLISHRECORD(T106, "XLS_STRIPS"),"--")</f>
        <v>--</v>
      </c>
      <c r="V106" s="33" t="str">
        <f>IF(UPPER(V$1)="ABCD",MKV_SUPPLYRECORD(T106, "Bid",E106, "Ask",G106, "Id",A106, "Mid",F106, "Name",C106,"DV01",M106,"MidYield",I106,"BidYield",H106,"AskYield",J106),"--")</f>
        <v>--</v>
      </c>
    </row>
    <row r="107" spans="1:22" x14ac:dyDescent="0.2">
      <c r="A107" s="72" t="s">
        <v>81</v>
      </c>
      <c r="B107" s="89">
        <v>48061</v>
      </c>
      <c r="C107" s="47" t="s">
        <v>462</v>
      </c>
      <c r="D107" s="47" t="s">
        <v>463</v>
      </c>
      <c r="E107" s="109">
        <f ca="1"/>
        <v>54.93</v>
      </c>
      <c r="F107" s="109">
        <f ca="1"/>
        <v>55.306348133090125</v>
      </c>
      <c r="G107" s="109">
        <f t="shared" ca="1" si="106"/>
        <v>55.682696266180251</v>
      </c>
      <c r="H107" s="109">
        <f ca="1">_xll.qlBondYieldFromCleanPrice(N107,E107,YieldDayCounter,YieldCompounding,YieldFrequency)*100</f>
        <v>3.6353111853823061</v>
      </c>
      <c r="I107" s="109">
        <f ca="1">_xll.qlBondYieldFromCleanPrice(O107,F107,YieldDayCounter,YieldCompounding,YieldFrequency)*100</f>
        <v>3.5931440768481342</v>
      </c>
      <c r="J107" s="109">
        <f ca="1">_xll.qlBondYieldFromCleanPrice(P107,G107,YieldDayCounter,YieldCompounding,YieldFrequency)*100</f>
        <v>3.5512799334898593</v>
      </c>
      <c r="K107" s="109">
        <f ca="1">_xll.qlBondDurationFromYield(O107,I107,YieldDayCounter,YieldCompounding,YieldFrequency,K$2)</f>
        <v>3.6528534509403254</v>
      </c>
      <c r="L107" s="109">
        <f ca="1">_xll.qlBondConvexityFromYield(O107,I107/100,YieldDayCounter,YieldCompounding,YieldFrequency)</f>
        <v>277.9490531004729</v>
      </c>
      <c r="M107" s="109" t="e">
        <f t="shared" ca="1" si="74"/>
        <v>#NAME?</v>
      </c>
      <c r="N107" s="109" t="str">
        <f>_xll.qlZeroCouponBond(,,"EUR",3,"target",100,$B107,"f",100,,,Trigger)</f>
        <v>obj_00391#0001</v>
      </c>
      <c r="O107" s="109" t="str">
        <f>_xll.qlZeroCouponBond(,,"EUR",3,"target",100,$B107,"f",100,,,Trigger)</f>
        <v>obj_003cd#0001</v>
      </c>
      <c r="P107" s="109" t="str">
        <f>_xll.qlZeroCouponBond(,,"EUR",3,"target",100,$B107,"f",100,,,Trigger)</f>
        <v>obj_00290#0001</v>
      </c>
      <c r="Q107" s="109">
        <f t="shared" ca="1" si="107"/>
        <v>54.93</v>
      </c>
      <c r="R107" s="109">
        <f t="shared" ref="R107" ca="1" si="116">Q107</f>
        <v>54.93</v>
      </c>
      <c r="S107" s="33" t="str">
        <f>IF(UPPER(S$1)="ABCD",_xll.RtContribute($D$3,$D107,$Q$3:$R$3,$Q107:$R107,"SCOPE:SERVER"),"--")</f>
        <v>--</v>
      </c>
      <c r="T107" s="33" t="str">
        <f t="shared" si="109"/>
        <v>EUR.PRICING.XLS_STRIPS.IT0003269013</v>
      </c>
      <c r="U107" s="33" t="str">
        <f>IF(UPPER($V$1)="ABCD",MKV_PUBLISHRECORD(T107, "XLS_STRIPS"),"--")</f>
        <v>--</v>
      </c>
      <c r="V107" s="33" t="str">
        <f>IF(UPPER(V$1)="ABCD",MKV_SUPPLYRECORD(T107, "Bid",E107, "Ask",G107, "Id",A107, "Mid",F107, "Name",C107,"DV01",M107,"MidYield",I107,"BidYield",H107,"AskYield",J107),"--")</f>
        <v>--</v>
      </c>
    </row>
    <row r="108" spans="1:22" x14ac:dyDescent="0.2">
      <c r="A108" s="72" t="s">
        <v>222</v>
      </c>
      <c r="B108" s="89">
        <v>48092</v>
      </c>
      <c r="C108" s="47" t="s">
        <v>223</v>
      </c>
      <c r="D108" s="47" t="s">
        <v>224</v>
      </c>
      <c r="E108" s="109">
        <f ca="1"/>
        <v>54.71</v>
      </c>
      <c r="F108" s="109">
        <f ca="1"/>
        <v>55.089194460098575</v>
      </c>
      <c r="G108" s="109">
        <f t="shared" ca="1" si="106"/>
        <v>55.46838892019715</v>
      </c>
      <c r="H108" s="109">
        <f ca="1">_xll.qlBondYieldFromCleanPrice(N108,E108,YieldDayCounter,YieldCompounding,YieldFrequency)*100</f>
        <v>3.6413366876170041</v>
      </c>
      <c r="I108" s="109">
        <f ca="1">_xll.qlBondYieldFromCleanPrice(O108,F108,YieldDayCounter,YieldCompounding,YieldFrequency)*100</f>
        <v>3.5988939397409561</v>
      </c>
      <c r="J108" s="109">
        <f ca="1">_xll.qlBondYieldFromCleanPrice(P108,G108,YieldDayCounter,YieldCompounding,YieldFrequency)*100</f>
        <v>3.5567595518076893</v>
      </c>
      <c r="K108" s="109">
        <f ca="1">_xll.qlBondDurationFromYield(O108,I108,YieldDayCounter,YieldCompounding,YieldFrequency,K$2)</f>
        <v>3.6667542064646934</v>
      </c>
      <c r="L108" s="109">
        <f ca="1">_xll.qlBondConvexityFromYield(O108,I108/100,YieldDayCounter,YieldCompounding,YieldFrequency)</f>
        <v>280.65946085415487</v>
      </c>
      <c r="M108" s="109" t="e">
        <f t="shared" ca="1" si="74"/>
        <v>#NAME?</v>
      </c>
      <c r="N108" s="109" t="str">
        <f>_xll.qlZeroCouponBond(,,"EUR",3,"target",100,$B108,"f",100,,,Trigger)</f>
        <v>obj_0026f#0001</v>
      </c>
      <c r="O108" s="109" t="str">
        <f>_xll.qlZeroCouponBond(,,"EUR",3,"target",100,$B108,"f",100,,,Trigger)</f>
        <v>obj_002dd#0001</v>
      </c>
      <c r="P108" s="109" t="str">
        <f>_xll.qlZeroCouponBond(,,"EUR",3,"target",100,$B108,"f",100,,,Trigger)</f>
        <v>obj_0028c#0001</v>
      </c>
      <c r="Q108" s="109">
        <f t="shared" ca="1" si="107"/>
        <v>54.71</v>
      </c>
      <c r="R108" s="109">
        <f t="shared" ref="R108" ca="1" si="117">Q108</f>
        <v>54.71</v>
      </c>
      <c r="S108" s="33" t="str">
        <f>IF(UPPER(S$1)="ABCD",_xll.RtContribute($D$3,$D108,$Q$3:$R$3,$Q108:$R108,"SCOPE:SERVER"),"--")</f>
        <v>--</v>
      </c>
      <c r="T108" s="33" t="str">
        <f t="shared" si="109"/>
        <v>EUR.PRICING.XLS_STRIPS.IT0004976582</v>
      </c>
      <c r="U108" s="33" t="str">
        <f>IF(UPPER($V$1)="ABCD",MKV_PUBLISHRECORD(T108, "XLS_STRIPS"),"--")</f>
        <v>--</v>
      </c>
      <c r="V108" s="33" t="str">
        <f>IF(UPPER(V$1)="ABCD",MKV_SUPPLYRECORD(T108, "Bid",E108, "Ask",G108, "Id",A108, "Mid",F108, "Name",C108,"DV01",M108,"MidYield",I108,"BidYield",H108,"AskYield",J108),"--")</f>
        <v>--</v>
      </c>
    </row>
    <row r="109" spans="1:22" x14ac:dyDescent="0.2">
      <c r="A109" s="72" t="s">
        <v>82</v>
      </c>
      <c r="B109" s="89">
        <v>48245</v>
      </c>
      <c r="C109" s="47" t="s">
        <v>464</v>
      </c>
      <c r="D109" s="47" t="s">
        <v>465</v>
      </c>
      <c r="E109" s="109">
        <f ca="1"/>
        <v>53.63</v>
      </c>
      <c r="F109" s="109">
        <f ca="1"/>
        <v>54.004407847458538</v>
      </c>
      <c r="G109" s="109">
        <f t="shared" ca="1" si="106"/>
        <v>54.378815694917073</v>
      </c>
      <c r="H109" s="109">
        <f ca="1">_xll.qlBondYieldFromCleanPrice(N109,E109,YieldDayCounter,YieldCompounding,YieldFrequency)*100</f>
        <v>3.6704069420472161</v>
      </c>
      <c r="I109" s="109">
        <f ca="1">_xll.qlBondYieldFromCleanPrice(O109,F109,YieldDayCounter,YieldCompounding,YieldFrequency)*100</f>
        <v>3.6286887679901034</v>
      </c>
      <c r="J109" s="109">
        <f ca="1">_xll.qlBondYieldFromCleanPrice(P109,G109,YieldDayCounter,YieldCompounding,YieldFrequency)*100</f>
        <v>3.58727544019444</v>
      </c>
      <c r="K109" s="109">
        <f ca="1">_xll.qlBondDurationFromYield(O109,I109,YieldDayCounter,YieldCompounding,YieldFrequency,K$2)</f>
        <v>3.7343041135934647</v>
      </c>
      <c r="L109" s="109">
        <f ca="1">_xll.qlBondConvexityFromYield(O109,I109/100,YieldDayCounter,YieldCompounding,YieldFrequency)</f>
        <v>294.30727314137204</v>
      </c>
      <c r="M109" s="109" t="e">
        <f t="shared" ca="1" si="74"/>
        <v>#NAME?</v>
      </c>
      <c r="N109" s="109" t="str">
        <f>_xll.qlZeroCouponBond(,,"EUR",3,"target",100,$B109,"f",100,,,Trigger)</f>
        <v>obj_00284#0001</v>
      </c>
      <c r="O109" s="109" t="str">
        <f>_xll.qlZeroCouponBond(,,"EUR",3,"target",100,$B109,"f",100,,,Trigger)</f>
        <v>obj_00276#0001</v>
      </c>
      <c r="P109" s="109" t="str">
        <f>_xll.qlZeroCouponBond(,,"EUR",3,"target",100,$B109,"f",100,,,Trigger)</f>
        <v>obj_0022b#0001</v>
      </c>
      <c r="Q109" s="109">
        <f t="shared" ca="1" si="107"/>
        <v>53.63</v>
      </c>
      <c r="R109" s="109">
        <f t="shared" ref="R109" ca="1" si="118">Q109</f>
        <v>53.63</v>
      </c>
      <c r="S109" s="33" t="str">
        <f>IF(UPPER(S$1)="ABCD",_xll.RtContribute($D$3,$D109,$Q$3:$R$3,$Q109:$R109,"SCOPE:SERVER"),"--")</f>
        <v>--</v>
      </c>
      <c r="T109" s="33" t="str">
        <f t="shared" si="109"/>
        <v>EUR.PRICING.XLS_STRIPS.IT0003269021</v>
      </c>
      <c r="U109" s="33" t="str">
        <f>IF(UPPER($V$1)="ABCD",MKV_PUBLISHRECORD(T109, "XLS_STRIPS"),"--")</f>
        <v>--</v>
      </c>
      <c r="V109" s="33" t="str">
        <f>IF(UPPER(V$1)="ABCD",MKV_SUPPLYRECORD(T109, "Bid",E109, "Ask",G109, "Id",A109, "Mid",F109, "Name",C109,"DV01",M109,"MidYield",I109,"BidYield",H109,"AskYield",J109),"--")</f>
        <v>--</v>
      </c>
    </row>
    <row r="110" spans="1:22" x14ac:dyDescent="0.2">
      <c r="A110" s="72" t="s">
        <v>225</v>
      </c>
      <c r="B110" s="89">
        <v>48274</v>
      </c>
      <c r="C110" s="47" t="s">
        <v>226</v>
      </c>
      <c r="D110" s="47" t="s">
        <v>227</v>
      </c>
      <c r="E110" s="109">
        <f ca="1"/>
        <v>53.42</v>
      </c>
      <c r="F110" s="109">
        <f ca="1"/>
        <v>53.79653434020576</v>
      </c>
      <c r="G110" s="109">
        <f t="shared" ca="1" si="106"/>
        <v>54.173068680411518</v>
      </c>
      <c r="H110" s="109">
        <f ca="1">_xll.qlBondYieldFromCleanPrice(N110,E110,YieldDayCounter,YieldCompounding,YieldFrequency)*100</f>
        <v>3.6779139458015573</v>
      </c>
      <c r="I110" s="109">
        <f ca="1">_xll.qlBondYieldFromCleanPrice(O110,F110,YieldDayCounter,YieldCompounding,YieldFrequency)*100</f>
        <v>3.6359717974439265</v>
      </c>
      <c r="J110" s="109">
        <f ca="1">_xll.qlBondYieldFromCleanPrice(P110,G110,YieldDayCounter,YieldCompounding,YieldFrequency)*100</f>
        <v>3.5943389840051534</v>
      </c>
      <c r="K110" s="109">
        <f ca="1">_xll.qlBondDurationFromYield(O110,I110,YieldDayCounter,YieldCompounding,YieldFrequency,K$2)</f>
        <v>3.7443938117052364</v>
      </c>
      <c r="L110" s="109">
        <f ca="1">_xll.qlBondConvexityFromYield(O110,I110/100,YieldDayCounter,YieldCompounding,YieldFrequency)</f>
        <v>296.72081234183071</v>
      </c>
      <c r="M110" s="109" t="e">
        <f t="shared" ca="1" si="74"/>
        <v>#NAME?</v>
      </c>
      <c r="N110" s="109" t="str">
        <f>_xll.qlZeroCouponBond(,,"EUR",3,"target",100,$B110,"f",100,,,Trigger)</f>
        <v>obj_0028a#0001</v>
      </c>
      <c r="O110" s="109" t="str">
        <f>_xll.qlZeroCouponBond(,,"EUR",3,"target",100,$B110,"f",100,,,Trigger)</f>
        <v>obj_003b3#0001</v>
      </c>
      <c r="P110" s="109" t="str">
        <f>_xll.qlZeroCouponBond(,,"EUR",3,"target",100,$B110,"f",100,,,Trigger)</f>
        <v>obj_00307#0001</v>
      </c>
      <c r="Q110" s="109">
        <f t="shared" ca="1" si="107"/>
        <v>53.42</v>
      </c>
      <c r="R110" s="109">
        <f t="shared" ref="R110" ca="1" si="119">Q110</f>
        <v>53.42</v>
      </c>
      <c r="S110" s="33" t="str">
        <f>IF(UPPER(S$1)="ABCD",_xll.RtContribute($D$3,$D110,$Q$3:$R$3,$Q110:$R110,"SCOPE:SERVER"),"--")</f>
        <v>--</v>
      </c>
      <c r="T110" s="33" t="str">
        <f t="shared" si="109"/>
        <v>EUR.PRICING.XLS_STRIPS.IT0004976590</v>
      </c>
      <c r="U110" s="33" t="str">
        <f>IF(UPPER($V$1)="ABCD",MKV_PUBLISHRECORD(T110, "XLS_STRIPS"),"--")</f>
        <v>--</v>
      </c>
      <c r="V110" s="33" t="str">
        <f>IF(UPPER(V$1)="ABCD",MKV_SUPPLYRECORD(T110, "Bid",E110, "Ask",G110, "Id",A110, "Mid",F110, "Name",C110,"DV01",M110,"MidYield",I110,"BidYield",H110,"AskYield",J110),"--")</f>
        <v>--</v>
      </c>
    </row>
    <row r="111" spans="1:22" x14ac:dyDescent="0.2">
      <c r="A111" s="72" t="s">
        <v>83</v>
      </c>
      <c r="B111" s="89">
        <v>48427</v>
      </c>
      <c r="C111" s="47" t="s">
        <v>466</v>
      </c>
      <c r="D111" s="47" t="s">
        <v>467</v>
      </c>
      <c r="E111" s="109">
        <f ca="1"/>
        <v>52.31</v>
      </c>
      <c r="F111" s="109">
        <f ca="1"/>
        <v>52.689381078204455</v>
      </c>
      <c r="G111" s="109">
        <f t="shared" ca="1" si="106"/>
        <v>53.068762156408908</v>
      </c>
      <c r="H111" s="109">
        <f ca="1">_xll.qlBondYieldFromCleanPrice(N111,E111,YieldDayCounter,YieldCompounding,YieldFrequency)*100</f>
        <v>3.7114961292180491</v>
      </c>
      <c r="I111" s="109">
        <f ca="1">_xll.qlBondYieldFromCleanPrice(O111,F111,YieldDayCounter,YieldCompounding,YieldFrequency)*100</f>
        <v>3.6693548612669118</v>
      </c>
      <c r="J111" s="109">
        <f ca="1">_xll.qlBondYieldFromCleanPrice(P111,G111,YieldDayCounter,YieldCompounding,YieldFrequency)*100</f>
        <v>3.6275328777672144</v>
      </c>
      <c r="K111" s="109">
        <f ca="1">_xll.qlBondDurationFromYield(O111,I111,YieldDayCounter,YieldCompounding,YieldFrequency,K$2)</f>
        <v>3.8079825684920929</v>
      </c>
      <c r="L111" s="109">
        <f ca="1">_xll.qlBondConvexityFromYield(O111,I111/100,YieldDayCounter,YieldCompounding,YieldFrequency)</f>
        <v>310.71744364800509</v>
      </c>
      <c r="M111" s="109" t="e">
        <f t="shared" ca="1" si="74"/>
        <v>#NAME?</v>
      </c>
      <c r="N111" s="109" t="str">
        <f>_xll.qlZeroCouponBond(,,"EUR",3,"target",100,$B111,"f",100,,,Trigger)</f>
        <v>obj_0028f#0001</v>
      </c>
      <c r="O111" s="109" t="str">
        <f>_xll.qlZeroCouponBond(,,"EUR",3,"target",100,$B111,"f",100,,,Trigger)</f>
        <v>obj_00389#0001</v>
      </c>
      <c r="P111" s="109" t="str">
        <f>_xll.qlZeroCouponBond(,,"EUR",3,"target",100,$B111,"f",100,,,Trigger)</f>
        <v>obj_002ce#0001</v>
      </c>
      <c r="Q111" s="109">
        <f t="shared" ca="1" si="107"/>
        <v>52.31</v>
      </c>
      <c r="R111" s="109">
        <f t="shared" ref="R111" ca="1" si="120">Q111</f>
        <v>52.31</v>
      </c>
      <c r="S111" s="33" t="str">
        <f>IF(UPPER(S$1)="ABCD",_xll.RtContribute($D$3,$D111,$Q$3:$R$3,$Q111:$R111,"SCOPE:SERVER"),"--")</f>
        <v>--</v>
      </c>
      <c r="T111" s="33" t="str">
        <f t="shared" si="109"/>
        <v>EUR.PRICING.XLS_STRIPS.IT0003269039</v>
      </c>
      <c r="U111" s="33" t="str">
        <f>IF(UPPER($V$1)="ABCD",MKV_PUBLISHRECORD(T111, "XLS_STRIPS"),"--")</f>
        <v>--</v>
      </c>
      <c r="V111" s="33" t="str">
        <f>IF(UPPER(V$1)="ABCD",MKV_SUPPLYRECORD(T111, "Bid",E111, "Ask",G111, "Id",A111, "Mid",F111, "Name",C111,"DV01",M111,"MidYield",I111,"BidYield",H111,"AskYield",J111),"--")</f>
        <v>--</v>
      </c>
    </row>
    <row r="112" spans="1:22" x14ac:dyDescent="0.2">
      <c r="A112" s="72" t="s">
        <v>228</v>
      </c>
      <c r="B112" s="89">
        <v>48458</v>
      </c>
      <c r="C112" s="47" t="s">
        <v>229</v>
      </c>
      <c r="D112" s="47" t="s">
        <v>230</v>
      </c>
      <c r="E112" s="109">
        <f ca="1"/>
        <v>52.08</v>
      </c>
      <c r="F112" s="109">
        <f ca="1"/>
        <v>52.463106576870075</v>
      </c>
      <c r="G112" s="109">
        <f t="shared" ca="1" si="106"/>
        <v>52.846213153740152</v>
      </c>
      <c r="H112" s="109">
        <f ca="1">_xll.qlBondYieldFromCleanPrice(N112,E112,YieldDayCounter,YieldCompounding,YieldFrequency)*100</f>
        <v>3.719690161773856</v>
      </c>
      <c r="I112" s="109">
        <f ca="1">_xll.qlBondYieldFromCleanPrice(O112,F112,YieldDayCounter,YieldCompounding,YieldFrequency)*100</f>
        <v>3.6771427049860361</v>
      </c>
      <c r="J112" s="109">
        <f ca="1">_xll.qlBondYieldFromCleanPrice(P112,G112,YieldDayCounter,YieldCompounding,YieldFrequency)*100</f>
        <v>3.6349220915184866</v>
      </c>
      <c r="K112" s="109">
        <f ca="1">_xll.qlBondDurationFromYield(O112,I112,YieldDayCounter,YieldCompounding,YieldFrequency,K$2)</f>
        <v>3.8192150262140587</v>
      </c>
      <c r="L112" s="109">
        <f ca="1">_xll.qlBondConvexityFromYield(O112,I112/100,YieldDayCounter,YieldCompounding,YieldFrequency)</f>
        <v>313.47273419308192</v>
      </c>
      <c r="M112" s="109" t="e">
        <f t="shared" ca="1" si="74"/>
        <v>#NAME?</v>
      </c>
      <c r="N112" s="109" t="str">
        <f>_xll.qlZeroCouponBond(,,"EUR",3,"target",100,$B112,"f",100,,,Trigger)</f>
        <v>obj_0022d#0001</v>
      </c>
      <c r="O112" s="109" t="str">
        <f>_xll.qlZeroCouponBond(,,"EUR",3,"target",100,$B112,"f",100,,,Trigger)</f>
        <v>obj_002db#0001</v>
      </c>
      <c r="P112" s="109" t="str">
        <f>_xll.qlZeroCouponBond(,,"EUR",3,"target",100,$B112,"f",100,,,Trigger)</f>
        <v>obj_003d1#0001</v>
      </c>
      <c r="Q112" s="109">
        <f t="shared" ca="1" si="107"/>
        <v>52.08</v>
      </c>
      <c r="R112" s="109">
        <f t="shared" ref="R112" ca="1" si="121">Q112</f>
        <v>52.08</v>
      </c>
      <c r="S112" s="33" t="str">
        <f>IF(UPPER(S$1)="ABCD",_xll.RtContribute($D$3,$D112,$Q$3:$R$3,$Q112:$R112,"SCOPE:SERVER"),"--")</f>
        <v>--</v>
      </c>
      <c r="T112" s="33" t="str">
        <f t="shared" si="109"/>
        <v>EUR.PRICING.XLS_STRIPS.IT0004976608</v>
      </c>
      <c r="U112" s="33" t="str">
        <f>IF(UPPER($V$1)="ABCD",MKV_PUBLISHRECORD(T112, "XLS_STRIPS"),"--")</f>
        <v>--</v>
      </c>
      <c r="V112" s="33" t="str">
        <f>IF(UPPER(V$1)="ABCD",MKV_SUPPLYRECORD(T112, "Bid",E112, "Ask",G112, "Id",A112, "Mid",F112, "Name",C112,"DV01",M112,"MidYield",I112,"BidYield",H112,"AskYield",J112),"--")</f>
        <v>--</v>
      </c>
    </row>
    <row r="113" spans="1:22" x14ac:dyDescent="0.2">
      <c r="A113" s="72" t="s">
        <v>468</v>
      </c>
      <c r="B113" s="89">
        <v>48611</v>
      </c>
      <c r="C113" s="47" t="s">
        <v>469</v>
      </c>
      <c r="D113" s="47" t="s">
        <v>470</v>
      </c>
      <c r="E113" s="109">
        <f ca="1"/>
        <v>50.96</v>
      </c>
      <c r="F113" s="109">
        <f ca="1"/>
        <v>51.338159566531324</v>
      </c>
      <c r="G113" s="109">
        <f t="shared" ca="1" si="106"/>
        <v>51.716319133062647</v>
      </c>
      <c r="H113" s="109">
        <f ca="1">_xll.qlBondYieldFromCleanPrice(N113,E113,YieldDayCounter,YieldCompounding,YieldFrequency)*100</f>
        <v>3.7561805017920809</v>
      </c>
      <c r="I113" s="109">
        <f ca="1">_xll.qlBondYieldFromCleanPrice(O113,F113,YieldDayCounter,YieldCompounding,YieldFrequency)*100</f>
        <v>3.714230008786898</v>
      </c>
      <c r="J113" s="109">
        <f ca="1">_xll.qlBondYieldFromCleanPrice(P113,G113,YieldDayCounter,YieldCompounding,YieldFrequency)*100</f>
        <v>3.6726041559502502</v>
      </c>
      <c r="K113" s="109">
        <f ca="1">_xll.qlBondDurationFromYield(O113,I113,YieldDayCounter,YieldCompounding,YieldFrequency,K$2)</f>
        <v>3.8780865054835179</v>
      </c>
      <c r="L113" s="109">
        <f ca="1">_xll.qlBondConvexityFromYield(O113,I113/100,YieldDayCounter,YieldCompounding,YieldFrequency)</f>
        <v>327.72378616931564</v>
      </c>
      <c r="M113" s="109" t="e">
        <f t="shared" ca="1" si="74"/>
        <v>#NAME?</v>
      </c>
      <c r="N113" s="109" t="str">
        <f>_xll.qlZeroCouponBond(,,"EUR",3,"target",100,$B113,"f",100,,,Trigger)</f>
        <v>obj_00378#0001</v>
      </c>
      <c r="O113" s="109" t="str">
        <f>_xll.qlZeroCouponBond(,,"EUR",3,"target",100,$B113,"f",100,,,Trigger)</f>
        <v>obj_00380#0001</v>
      </c>
      <c r="P113" s="109" t="str">
        <f>_xll.qlZeroCouponBond(,,"EUR",3,"target",100,$B113,"f",100,,,Trigger)</f>
        <v>obj_003ba#0001</v>
      </c>
      <c r="Q113" s="109">
        <f t="shared" ca="1" si="107"/>
        <v>50.96</v>
      </c>
      <c r="R113" s="109">
        <f t="shared" ref="R113" ca="1" si="122">Q113</f>
        <v>50.96</v>
      </c>
      <c r="S113" s="33" t="str">
        <f>IF(UPPER(S$1)="ABCD",_xll.RtContribute($D$3,$D113,$Q$3:$R$3,$Q113:$R113,"SCOPE:SERVER"),"--")</f>
        <v>--</v>
      </c>
      <c r="T113" s="33" t="str">
        <f t="shared" si="109"/>
        <v>EUR.PRICING.XLS_STRIPS.IT0004848534</v>
      </c>
      <c r="U113" s="33" t="str">
        <f>IF(UPPER($V$1)="ABCD",MKV_PUBLISHRECORD(T113, "XLS_STRIPS"),"--")</f>
        <v>--</v>
      </c>
      <c r="V113" s="33" t="str">
        <f>IF(UPPER(V$1)="ABCD",MKV_SUPPLYRECORD(T113, "Bid",E113, "Ask",G113, "Id",A113, "Mid",F113, "Name",C113,"DV01",M113,"MidYield",I113,"BidYield",H113,"AskYield",J113),"--")</f>
        <v>--</v>
      </c>
    </row>
    <row r="114" spans="1:22" x14ac:dyDescent="0.2">
      <c r="A114" s="72" t="s">
        <v>231</v>
      </c>
      <c r="B114" s="89">
        <v>48639</v>
      </c>
      <c r="C114" s="47" t="s">
        <v>232</v>
      </c>
      <c r="D114" s="47" t="s">
        <v>233</v>
      </c>
      <c r="E114" s="109">
        <f ca="1"/>
        <v>50.75</v>
      </c>
      <c r="F114" s="109">
        <f ca="1"/>
        <v>51.131021996182191</v>
      </c>
      <c r="G114" s="109">
        <f t="shared" ca="1" si="106"/>
        <v>51.512043992364383</v>
      </c>
      <c r="H114" s="109">
        <f ca="1">_xll.qlBondYieldFromCleanPrice(N114,E114,YieldDayCounter,YieldCompounding,YieldFrequency)*100</f>
        <v>3.7635319359600543</v>
      </c>
      <c r="I114" s="109">
        <f ca="1">_xll.qlBondYieldFromCleanPrice(O114,F114,YieldDayCounter,YieldCompounding,YieldFrequency)*100</f>
        <v>3.7212652506236608</v>
      </c>
      <c r="J114" s="109">
        <f ca="1">_xll.qlBondYieldFromCleanPrice(P114,G114,YieldDayCounter,YieldCompounding,YieldFrequency)*100</f>
        <v>3.6793293764463377</v>
      </c>
      <c r="K114" s="109">
        <f ca="1">_xll.qlBondDurationFromYield(O114,I114,YieldDayCounter,YieldCompounding,YieldFrequency,K$2)</f>
        <v>3.8885559558772727</v>
      </c>
      <c r="L114" s="109">
        <f ca="1">_xll.qlBondConvexityFromYield(O114,I114/100,YieldDayCounter,YieldCompounding,YieldFrequency)</f>
        <v>330.36338724491952</v>
      </c>
      <c r="M114" s="109" t="e">
        <f t="shared" ca="1" si="74"/>
        <v>#NAME?</v>
      </c>
      <c r="N114" s="109" t="str">
        <f>_xll.qlZeroCouponBond(,,"EUR",3,"target",100,$B114,"f",100,,,Trigger)</f>
        <v>obj_0039d#0001</v>
      </c>
      <c r="O114" s="109" t="str">
        <f>_xll.qlZeroCouponBond(,,"EUR",3,"target",100,$B114,"f",100,,,Trigger)</f>
        <v>obj_003d0#0001</v>
      </c>
      <c r="P114" s="109" t="str">
        <f>_xll.qlZeroCouponBond(,,"EUR",3,"target",100,$B114,"f",100,,,Trigger)</f>
        <v>obj_00260#0001</v>
      </c>
      <c r="Q114" s="109">
        <f t="shared" ca="1" si="107"/>
        <v>50.75</v>
      </c>
      <c r="R114" s="109">
        <f t="shared" ref="R114" ca="1" si="123">Q114</f>
        <v>50.75</v>
      </c>
      <c r="S114" s="33" t="str">
        <f>IF(UPPER(S$1)="ABCD",_xll.RtContribute($D$3,$D114,$Q$3:$R$3,$Q114:$R114,"SCOPE:SERVER"),"--")</f>
        <v>--</v>
      </c>
      <c r="T114" s="33" t="str">
        <f t="shared" si="109"/>
        <v>EUR.PRICING.XLS_STRIPS.IT0004976616</v>
      </c>
      <c r="U114" s="33" t="str">
        <f>IF(UPPER($V$1)="ABCD",MKV_PUBLISHRECORD(T114, "XLS_STRIPS"),"--")</f>
        <v>--</v>
      </c>
      <c r="V114" s="33" t="str">
        <f>IF(UPPER(V$1)="ABCD",MKV_SUPPLYRECORD(T114, "Bid",E114, "Ask",G114, "Id",A114, "Mid",F114, "Name",C114,"DV01",M114,"MidYield",I114,"BidYield",H114,"AskYield",J114),"--")</f>
        <v>--</v>
      </c>
    </row>
    <row r="115" spans="1:22" x14ac:dyDescent="0.2">
      <c r="A115" s="72" t="s">
        <v>84</v>
      </c>
      <c r="B115" s="89">
        <v>48792</v>
      </c>
      <c r="C115" s="47" t="s">
        <v>471</v>
      </c>
      <c r="D115" s="47" t="s">
        <v>472</v>
      </c>
      <c r="E115" s="109">
        <f ca="1"/>
        <v>49.63</v>
      </c>
      <c r="F115" s="109">
        <f ca="1"/>
        <v>50.005225472816917</v>
      </c>
      <c r="G115" s="109">
        <f t="shared" ca="1" si="106"/>
        <v>50.380450945633832</v>
      </c>
      <c r="H115" s="109">
        <f ca="1">_xll.qlBondYieldFromCleanPrice(N115,E115,YieldDayCounter,YieldCompounding,YieldFrequency)*100</f>
        <v>3.8012790383476975</v>
      </c>
      <c r="I115" s="109">
        <f ca="1">_xll.qlBondYieldFromCleanPrice(O115,F115,YieldDayCounter,YieldCompounding,YieldFrequency)*100</f>
        <v>3.7596519725374913</v>
      </c>
      <c r="J115" s="109">
        <f ca="1">_xll.qlBondYieldFromCleanPrice(P115,G115,YieldDayCounter,YieldCompounding,YieldFrequency)*100</f>
        <v>3.7183525972068323</v>
      </c>
      <c r="K115" s="109">
        <f ca="1">_xll.qlBondDurationFromYield(O115,I115,YieldDayCounter,YieldCompounding,YieldFrequency,K$2)</f>
        <v>3.9452637083819706</v>
      </c>
      <c r="L115" s="109">
        <f ca="1">_xll.qlBondConvexityFromYield(O115,I115/100,YieldDayCounter,YieldCompounding,YieldFrequency)</f>
        <v>344.96767386397391</v>
      </c>
      <c r="M115" s="109" t="e">
        <f t="shared" ca="1" si="74"/>
        <v>#NAME?</v>
      </c>
      <c r="N115" s="109" t="str">
        <f>_xll.qlZeroCouponBond(,,"EUR",3,"target",100,$B115,"f",100,,,Trigger)</f>
        <v>obj_0022a#0001</v>
      </c>
      <c r="O115" s="109" t="str">
        <f>_xll.qlZeroCouponBond(,,"EUR",3,"target",100,$B115,"f",100,,,Trigger)</f>
        <v>obj_002a7#0001</v>
      </c>
      <c r="P115" s="109" t="str">
        <f>_xll.qlZeroCouponBond(,,"EUR",3,"target",100,$B115,"f",100,,,Trigger)</f>
        <v>obj_00303#0001</v>
      </c>
      <c r="Q115" s="109">
        <f t="shared" ca="1" si="107"/>
        <v>49.63</v>
      </c>
      <c r="R115" s="109">
        <f t="shared" ref="R115" ca="1" si="124">Q115</f>
        <v>49.63</v>
      </c>
      <c r="S115" s="33" t="str">
        <f>IF(UPPER(S$1)="ABCD",_xll.RtContribute($D$3,$D115,$Q$3:$R$3,$Q115:$R115,"SCOPE:SERVER"),"--")</f>
        <v>--</v>
      </c>
      <c r="T115" s="33" t="str">
        <f t="shared" si="109"/>
        <v>EUR.PRICING.XLS_STRIPS.IT0003540389</v>
      </c>
      <c r="U115" s="33" t="str">
        <f>IF(UPPER($V$1)="ABCD",MKV_PUBLISHRECORD(T115, "XLS_STRIPS"),"--")</f>
        <v>--</v>
      </c>
      <c r="V115" s="33" t="str">
        <f>IF(UPPER(V$1)="ABCD",MKV_SUPPLYRECORD(T115, "Bid",E115, "Ask",G115, "Id",A115, "Mid",F115, "Name",C115,"DV01",M115,"MidYield",I115,"BidYield",H115,"AskYield",J115),"--")</f>
        <v>--</v>
      </c>
    </row>
    <row r="116" spans="1:22" x14ac:dyDescent="0.2">
      <c r="A116" s="72" t="s">
        <v>234</v>
      </c>
      <c r="B116" s="89">
        <v>48823</v>
      </c>
      <c r="C116" s="47" t="s">
        <v>235</v>
      </c>
      <c r="D116" s="47" t="s">
        <v>236</v>
      </c>
      <c r="E116" s="109">
        <f ca="1"/>
        <v>49.4</v>
      </c>
      <c r="F116" s="109">
        <f ca="1"/>
        <v>49.780938869974065</v>
      </c>
      <c r="G116" s="109">
        <f t="shared" ca="1" si="106"/>
        <v>50.161877739948132</v>
      </c>
      <c r="H116" s="109">
        <f ca="1">_xll.qlBondYieldFromCleanPrice(N116,E116,YieldDayCounter,YieldCompounding,YieldFrequency)*100</f>
        <v>3.8094040192663687</v>
      </c>
      <c r="I116" s="109">
        <f ca="1">_xll.qlBondYieldFromCleanPrice(O116,F116,YieldDayCounter,YieldCompounding,YieldFrequency)*100</f>
        <v>3.7671374969184392</v>
      </c>
      <c r="J116" s="109">
        <f ca="1">_xll.qlBondYieldFromCleanPrice(P116,G116,YieldDayCounter,YieldCompounding,YieldFrequency)*100</f>
        <v>3.7252102084457879</v>
      </c>
      <c r="K116" s="109">
        <f ca="1">_xll.qlBondDurationFromYield(O116,I116,YieldDayCounter,YieldCompounding,YieldFrequency,K$2)</f>
        <v>3.9568847575350028</v>
      </c>
      <c r="L116" s="109">
        <f ca="1">_xll.qlBondConvexityFromYield(O116,I116/100,YieldDayCounter,YieldCompounding,YieldFrequency)</f>
        <v>347.96579040077938</v>
      </c>
      <c r="M116" s="109" t="e">
        <f t="shared" ca="1" si="74"/>
        <v>#NAME?</v>
      </c>
      <c r="N116" s="109" t="str">
        <f>_xll.qlZeroCouponBond(,,"EUR",3,"target",100,$B116,"f",100,,,Trigger)</f>
        <v>obj_002e9#0001</v>
      </c>
      <c r="O116" s="109" t="str">
        <f>_xll.qlZeroCouponBond(,,"EUR",3,"target",100,$B116,"f",100,,,Trigger)</f>
        <v>obj_0032d#0001</v>
      </c>
      <c r="P116" s="109" t="str">
        <f>_xll.qlZeroCouponBond(,,"EUR",3,"target",100,$B116,"f",100,,,Trigger)</f>
        <v>obj_00358#0001</v>
      </c>
      <c r="Q116" s="109">
        <f t="shared" ca="1" si="107"/>
        <v>49.4</v>
      </c>
      <c r="R116" s="109">
        <f t="shared" ref="R116" ca="1" si="125">Q116</f>
        <v>49.4</v>
      </c>
      <c r="S116" s="33" t="str">
        <f>IF(UPPER(S$1)="ABCD",_xll.RtContribute($D$3,$D116,$Q$3:$R$3,$Q116:$R116,"SCOPE:SERVER"),"--")</f>
        <v>--</v>
      </c>
      <c r="T116" s="33" t="str">
        <f t="shared" si="109"/>
        <v>EUR.PRICING.XLS_STRIPS.IT0004976624</v>
      </c>
      <c r="U116" s="33" t="str">
        <f>IF(UPPER($V$1)="ABCD",MKV_PUBLISHRECORD(T116, "XLS_STRIPS"),"--")</f>
        <v>--</v>
      </c>
      <c r="V116" s="33" t="str">
        <f>IF(UPPER(V$1)="ABCD",MKV_SUPPLYRECORD(T116, "Bid",E116, "Ask",G116, "Id",A116, "Mid",F116, "Name",C116,"DV01",M116,"MidYield",I116,"BidYield",H116,"AskYield",J116),"--")</f>
        <v>--</v>
      </c>
    </row>
    <row r="117" spans="1:22" x14ac:dyDescent="0.2">
      <c r="A117" s="72" t="s">
        <v>85</v>
      </c>
      <c r="B117" s="89">
        <v>48976</v>
      </c>
      <c r="C117" s="47" t="s">
        <v>473</v>
      </c>
      <c r="D117" s="47" t="s">
        <v>474</v>
      </c>
      <c r="E117" s="109">
        <f ca="1"/>
        <v>48.33</v>
      </c>
      <c r="F117" s="109">
        <f ca="1"/>
        <v>48.711903124177979</v>
      </c>
      <c r="G117" s="109">
        <f t="shared" ca="1" si="106"/>
        <v>49.093806248355961</v>
      </c>
      <c r="H117" s="109">
        <f ca="1">_xll.qlBondYieldFromCleanPrice(N117,E117,YieldDayCounter,YieldCompounding,YieldFrequency)*100</f>
        <v>3.8429303877055649</v>
      </c>
      <c r="I117" s="109">
        <f ca="1">_xll.qlBondYieldFromCleanPrice(O117,F117,YieldDayCounter,YieldCompounding,YieldFrequency)*100</f>
        <v>3.8005506733316667</v>
      </c>
      <c r="J117" s="109">
        <f ca="1">_xll.qlBondYieldFromCleanPrice(P117,G117,YieldDayCounter,YieldCompounding,YieldFrequency)*100</f>
        <v>3.7585190154612076</v>
      </c>
      <c r="K117" s="109">
        <f ca="1">_xll.qlBondDurationFromYield(O117,I117,YieldDayCounter,YieldCompounding,YieldFrequency,K$2)</f>
        <v>4.016662481648118</v>
      </c>
      <c r="L117" s="109">
        <f ca="1">_xll.qlBondConvexityFromYield(O117,I117/100,YieldDayCounter,YieldCompounding,YieldFrequency)</f>
        <v>362.97103345065705</v>
      </c>
      <c r="M117" s="109" t="e">
        <f t="shared" ca="1" si="74"/>
        <v>#NAME?</v>
      </c>
      <c r="N117" s="109" t="str">
        <f>_xll.qlZeroCouponBond(,,"EUR",3,"target",100,$B117,"f",100,,,Trigger)</f>
        <v>obj_003be#0001</v>
      </c>
      <c r="O117" s="109" t="str">
        <f>_xll.qlZeroCouponBond(,,"EUR",3,"target",100,$B117,"f",100,,,Trigger)</f>
        <v>obj_0037d#0001</v>
      </c>
      <c r="P117" s="109" t="str">
        <f>_xll.qlZeroCouponBond(,,"EUR",3,"target",100,$B117,"f",100,,,Trigger)</f>
        <v>obj_00364#0001</v>
      </c>
      <c r="Q117" s="109">
        <f t="shared" ca="1" si="107"/>
        <v>48.33</v>
      </c>
      <c r="R117" s="109">
        <f t="shared" ref="R117" ca="1" si="126">Q117</f>
        <v>48.33</v>
      </c>
      <c r="S117" s="33" t="str">
        <f>IF(UPPER(S$1)="ABCD",_xll.RtContribute($D$3,$D117,$Q$3:$R$3,$Q117:$R117,"SCOPE:SERVER"),"--")</f>
        <v>--</v>
      </c>
      <c r="T117" s="33" t="str">
        <f t="shared" si="109"/>
        <v>EUR.PRICING.XLS_STRIPS.IT0003540397</v>
      </c>
      <c r="U117" s="33" t="str">
        <f>IF(UPPER($V$1)="ABCD",MKV_PUBLISHRECORD(T117, "XLS_STRIPS"),"--")</f>
        <v>--</v>
      </c>
      <c r="V117" s="33" t="str">
        <f>IF(UPPER(V$1)="ABCD",MKV_SUPPLYRECORD(T117, "Bid",E117, "Ask",G117, "Id",A117, "Mid",F117, "Name",C117,"DV01",M117,"MidYield",I117,"BidYield",H117,"AskYield",J117),"--")</f>
        <v>--</v>
      </c>
    </row>
    <row r="118" spans="1:22" x14ac:dyDescent="0.2">
      <c r="A118" s="72" t="s">
        <v>237</v>
      </c>
      <c r="B118" s="89">
        <v>49004</v>
      </c>
      <c r="C118" s="47" t="s">
        <v>238</v>
      </c>
      <c r="D118" s="47" t="s">
        <v>239</v>
      </c>
      <c r="E118" s="109">
        <f ca="1"/>
        <v>48.15</v>
      </c>
      <c r="F118" s="109">
        <f ca="1"/>
        <v>48.525140418342602</v>
      </c>
      <c r="G118" s="109">
        <f t="shared" ca="1" si="106"/>
        <v>48.900280836685205</v>
      </c>
      <c r="H118" s="109">
        <f ca="1">_xll.qlBondYieldFromCleanPrice(N118,E118,YieldDayCounter,YieldCompounding,YieldFrequency)*100</f>
        <v>3.8474287040531632</v>
      </c>
      <c r="I118" s="109">
        <f ca="1">_xll.qlBondYieldFromCleanPrice(O118,F118,YieldDayCounter,YieldCompounding,YieldFrequency)*100</f>
        <v>3.8058051608502881</v>
      </c>
      <c r="J118" s="109">
        <f ca="1">_xll.qlBondYieldFromCleanPrice(P118,G118,YieldDayCounter,YieldCompounding,YieldFrequency)*100</f>
        <v>3.7645186431705948</v>
      </c>
      <c r="K118" s="109">
        <f ca="1">_xll.qlBondDurationFromYield(O118,I118,YieldDayCounter,YieldCompounding,YieldFrequency,K$2)</f>
        <v>4.0282332432644603</v>
      </c>
      <c r="L118" s="109">
        <f ca="1">_xll.qlBondConvexityFromYield(O118,I118/100,YieldDayCounter,YieldCompounding,YieldFrequency)</f>
        <v>365.75635673222331</v>
      </c>
      <c r="M118" s="109" t="e">
        <f t="shared" ca="1" si="74"/>
        <v>#NAME?</v>
      </c>
      <c r="N118" s="109" t="str">
        <f>_xll.qlZeroCouponBond(,,"EUR",3,"target",100,$B118,"f",100,,,Trigger)</f>
        <v>obj_002ff#0001</v>
      </c>
      <c r="O118" s="109" t="str">
        <f>_xll.qlZeroCouponBond(,,"EUR",3,"target",100,$B118,"f",100,,,Trigger)</f>
        <v>obj_00332#0001</v>
      </c>
      <c r="P118" s="109" t="str">
        <f>_xll.qlZeroCouponBond(,,"EUR",3,"target",100,$B118,"f",100,,,Trigger)</f>
        <v>obj_0034c#0001</v>
      </c>
      <c r="Q118" s="109">
        <f t="shared" ca="1" si="107"/>
        <v>48.15</v>
      </c>
      <c r="R118" s="109">
        <f t="shared" ref="R118" ca="1" si="127">Q118</f>
        <v>48.15</v>
      </c>
      <c r="S118" s="33" t="str">
        <f>IF(UPPER(S$1)="ABCD",_xll.RtContribute($D$3,$D118,$Q$3:$R$3,$Q118:$R118,"SCOPE:SERVER"),"--")</f>
        <v>--</v>
      </c>
      <c r="T118" s="33" t="str">
        <f t="shared" si="109"/>
        <v>EUR.PRICING.XLS_STRIPS.IT0004976632</v>
      </c>
      <c r="U118" s="33" t="str">
        <f>IF(UPPER($V$1)="ABCD",MKV_PUBLISHRECORD(T118, "XLS_STRIPS"),"--")</f>
        <v>--</v>
      </c>
      <c r="V118" s="33" t="str">
        <f>IF(UPPER(V$1)="ABCD",MKV_SUPPLYRECORD(T118, "Bid",E118, "Ask",G118, "Id",A118, "Mid",F118, "Name",C118,"DV01",M118,"MidYield",I118,"BidYield",H118,"AskYield",J118),"--")</f>
        <v>--</v>
      </c>
    </row>
    <row r="119" spans="1:22" x14ac:dyDescent="0.2">
      <c r="A119" s="72" t="s">
        <v>475</v>
      </c>
      <c r="B119" s="89">
        <v>49157</v>
      </c>
      <c r="C119" s="47" t="s">
        <v>476</v>
      </c>
      <c r="D119" s="47" t="s">
        <v>477</v>
      </c>
      <c r="E119" s="109">
        <f ca="1"/>
        <v>47.19</v>
      </c>
      <c r="F119" s="109">
        <f ca="1"/>
        <v>47.569919083249452</v>
      </c>
      <c r="G119" s="109">
        <f t="shared" ca="1" si="106"/>
        <v>47.949838166498907</v>
      </c>
      <c r="H119" s="109">
        <f ca="1">_xll.qlBondYieldFromCleanPrice(N119,E119,YieldDayCounter,YieldCompounding,YieldFrequency)*100</f>
        <v>3.8700827640275492</v>
      </c>
      <c r="I119" s="109">
        <f ca="1">_xll.qlBondYieldFromCleanPrice(O119,F119,YieldDayCounter,YieldCompounding,YieldFrequency)*100</f>
        <v>3.8279793791472922</v>
      </c>
      <c r="J119" s="109">
        <f ca="1">_xll.qlBondYieldFromCleanPrice(P119,G119,YieldDayCounter,YieldCompounding,YieldFrequency)*100</f>
        <v>3.7862277754804983</v>
      </c>
      <c r="K119" s="109">
        <f ca="1">_xll.qlBondDurationFromYield(O119,I119,YieldDayCounter,YieldCompounding,YieldFrequency,K$2)</f>
        <v>4.0965548190211996</v>
      </c>
      <c r="L119" s="109">
        <f ca="1">_xll.qlBondConvexityFromYield(O119,I119/100,YieldDayCounter,YieldCompounding,YieldFrequency)</f>
        <v>381.20697014124721</v>
      </c>
      <c r="M119" s="109" t="e">
        <f t="shared" ca="1" si="74"/>
        <v>#NAME?</v>
      </c>
      <c r="N119" s="109" t="str">
        <f>_xll.qlZeroCouponBond(,,"EUR",3,"target",100,$B119,"f",100,,,Trigger)</f>
        <v>obj_003c2#0001</v>
      </c>
      <c r="O119" s="109" t="str">
        <f>_xll.qlZeroCouponBond(,,"EUR",3,"target",100,$B119,"f",100,,,Trigger)</f>
        <v>obj_002b0#0001</v>
      </c>
      <c r="P119" s="109" t="str">
        <f>_xll.qlZeroCouponBond(,,"EUR",3,"target",100,$B119,"f",100,,,Trigger)</f>
        <v>obj_00224#0001</v>
      </c>
      <c r="Q119" s="109">
        <f t="shared" ca="1" si="107"/>
        <v>47.19</v>
      </c>
      <c r="R119" s="109">
        <f t="shared" ref="R119" ca="1" si="128">Q119</f>
        <v>47.19</v>
      </c>
      <c r="S119" s="33" t="str">
        <f>IF(UPPER(S$1)="ABCD",_xll.RtContribute($D$3,$D119,$Q$3:$R$3,$Q119:$R119,"SCOPE:SERVER"),"--")</f>
        <v>--</v>
      </c>
      <c r="T119" s="33" t="str">
        <f t="shared" si="109"/>
        <v>EUR.PRICING.XLS_STRIPS.IT0004848591</v>
      </c>
      <c r="U119" s="33" t="str">
        <f>IF(UPPER($V$1)="ABCD",MKV_PUBLISHRECORD(T119, "XLS_STRIPS"),"--")</f>
        <v>--</v>
      </c>
      <c r="V119" s="33" t="str">
        <f>IF(UPPER(V$1)="ABCD",MKV_SUPPLYRECORD(T119, "Bid",E119, "Ask",G119, "Id",A119, "Mid",F119, "Name",C119,"DV01",M119,"MidYield",I119,"BidYield",H119,"AskYield",J119),"--")</f>
        <v>--</v>
      </c>
    </row>
    <row r="120" spans="1:22" x14ac:dyDescent="0.2">
      <c r="A120" s="72" t="s">
        <v>240</v>
      </c>
      <c r="B120" s="89">
        <v>49188</v>
      </c>
      <c r="C120" s="47" t="s">
        <v>241</v>
      </c>
      <c r="D120" s="47" t="s">
        <v>242</v>
      </c>
      <c r="E120" s="109">
        <f ca="1"/>
        <v>47.01</v>
      </c>
      <c r="F120" s="109">
        <f ca="1"/>
        <v>47.391795407696165</v>
      </c>
      <c r="G120" s="109">
        <f t="shared" ca="1" si="106"/>
        <v>47.773590815392332</v>
      </c>
      <c r="H120" s="109">
        <f ca="1">_xll.qlBondYieldFromCleanPrice(N120,E120,YieldDayCounter,YieldCompounding,YieldFrequency)*100</f>
        <v>3.8732034079730511</v>
      </c>
      <c r="I120" s="109">
        <f ca="1">_xll.qlBondYieldFromCleanPrice(O120,F120,YieldDayCounter,YieldCompounding,YieldFrequency)*100</f>
        <v>3.8309119351208216</v>
      </c>
      <c r="J120" s="109">
        <f ca="1">_xll.qlBondYieldFromCleanPrice(P120,G120,YieldDayCounter,YieldCompounding,YieldFrequency)*100</f>
        <v>3.7889768205583096</v>
      </c>
      <c r="K120" s="109">
        <f ca="1">_xll.qlBondDurationFromYield(O120,I120,YieldDayCounter,YieldCompounding,YieldFrequency,K$2)</f>
        <v>4.1116488906008923</v>
      </c>
      <c r="L120" s="109">
        <f ca="1">_xll.qlBondConvexityFromYield(O120,I120/100,YieldDayCounter,YieldCompounding,YieldFrequency)</f>
        <v>384.38713911834515</v>
      </c>
      <c r="M120" s="109" t="e">
        <f t="shared" ca="1" si="74"/>
        <v>#NAME?</v>
      </c>
      <c r="N120" s="109" t="str">
        <f>_xll.qlZeroCouponBond(,,"EUR",3,"target",100,$B120,"f",100,,,Trigger)</f>
        <v>obj_00348#0001</v>
      </c>
      <c r="O120" s="109" t="str">
        <f>_xll.qlZeroCouponBond(,,"EUR",3,"target",100,$B120,"f",100,,,Trigger)</f>
        <v>obj_00326#0001</v>
      </c>
      <c r="P120" s="109" t="str">
        <f>_xll.qlZeroCouponBond(,,"EUR",3,"target",100,$B120,"f",100,,,Trigger)</f>
        <v>obj_00301#0001</v>
      </c>
      <c r="Q120" s="109">
        <f t="shared" ca="1" si="107"/>
        <v>47.01</v>
      </c>
      <c r="R120" s="109">
        <f t="shared" ref="R120" ca="1" si="129">Q120</f>
        <v>47.01</v>
      </c>
      <c r="S120" s="33" t="str">
        <f>IF(UPPER(S$1)="ABCD",_xll.RtContribute($D$3,$D120,$Q$3:$R$3,$Q120:$R120,"SCOPE:SERVER"),"--")</f>
        <v>--</v>
      </c>
      <c r="T120" s="33" t="str">
        <f t="shared" si="109"/>
        <v>EUR.PRICING.XLS_STRIPS.IT0004976640</v>
      </c>
      <c r="U120" s="33" t="str">
        <f>IF(UPPER($V$1)="ABCD",MKV_PUBLISHRECORD(T120, "XLS_STRIPS"),"--")</f>
        <v>--</v>
      </c>
      <c r="V120" s="33" t="str">
        <f>IF(UPPER(V$1)="ABCD",MKV_SUPPLYRECORD(T120, "Bid",E120, "Ask",G120, "Id",A120, "Mid",F120, "Name",C120,"DV01",M120,"MidYield",I120,"BidYield",H120,"AskYield",J120),"--")</f>
        <v>--</v>
      </c>
    </row>
    <row r="121" spans="1:22" x14ac:dyDescent="0.2">
      <c r="A121" s="72" t="s">
        <v>86</v>
      </c>
      <c r="B121" s="89">
        <v>49341</v>
      </c>
      <c r="C121" s="47" t="s">
        <v>478</v>
      </c>
      <c r="D121" s="47" t="s">
        <v>479</v>
      </c>
      <c r="E121" s="109">
        <f ca="1"/>
        <v>46.2</v>
      </c>
      <c r="F121" s="109">
        <f ca="1"/>
        <v>46.57918905793332</v>
      </c>
      <c r="G121" s="109">
        <f t="shared" ca="1" si="106"/>
        <v>46.958378115866637</v>
      </c>
      <c r="H121" s="109">
        <f ca="1">_xll.qlBondYieldFromCleanPrice(N121,E121,YieldDayCounter,YieldCompounding,YieldFrequency)*100</f>
        <v>3.8806371655533938</v>
      </c>
      <c r="I121" s="109">
        <f ca="1">_xll.qlBondYieldFromCleanPrice(O121,F121,YieldDayCounter,YieldCompounding,YieldFrequency)*100</f>
        <v>3.8387799836695198</v>
      </c>
      <c r="J121" s="109">
        <f ca="1">_xll.qlBondYieldFromCleanPrice(P121,G121,YieldDayCounter,YieldCompounding,YieldFrequency)*100</f>
        <v>3.7972788579117496</v>
      </c>
      <c r="K121" s="109">
        <f ca="1">_xll.qlBondDurationFromYield(O121,I121,YieldDayCounter,YieldCompounding,YieldFrequency,K$2)</f>
        <v>4.1915920643783409</v>
      </c>
      <c r="L121" s="109">
        <f ca="1">_xll.qlBondConvexityFromYield(O121,I121/100,YieldDayCounter,YieldCompounding,YieldFrequency)</f>
        <v>400.32442042857264</v>
      </c>
      <c r="M121" s="109" t="e">
        <f t="shared" ca="1" si="74"/>
        <v>#NAME?</v>
      </c>
      <c r="N121" s="109" t="str">
        <f>_xll.qlZeroCouponBond(,,"EUR",3,"target",100,$B121,"f",100,,,Trigger)</f>
        <v>obj_00387#0001</v>
      </c>
      <c r="O121" s="109" t="str">
        <f>_xll.qlZeroCouponBond(,,"EUR",3,"target",100,$B121,"f",100,,,Trigger)</f>
        <v>obj_00299#0001</v>
      </c>
      <c r="P121" s="109" t="str">
        <f>_xll.qlZeroCouponBond(,,"EUR",3,"target",100,$B121,"f",100,,,Trigger)</f>
        <v>obj_0036f#0001</v>
      </c>
      <c r="Q121" s="109">
        <f t="shared" ca="1" si="107"/>
        <v>46.2</v>
      </c>
      <c r="R121" s="109">
        <f t="shared" ref="R121" ca="1" si="130">Q121</f>
        <v>46.2</v>
      </c>
      <c r="S121" s="33" t="str">
        <f>IF(UPPER(S$1)="ABCD",_xll.RtContribute($D$3,$D121,$Q$3:$R$3,$Q121:$R121,"SCOPE:SERVER"),"--")</f>
        <v>--</v>
      </c>
      <c r="T121" s="33" t="str">
        <f t="shared" si="109"/>
        <v>EUR.PRICING.XLS_STRIPS.IT0004002819</v>
      </c>
      <c r="U121" s="33" t="str">
        <f>IF(UPPER($V$1)="ABCD",MKV_PUBLISHRECORD(T121, "XLS_STRIPS"),"--")</f>
        <v>--</v>
      </c>
      <c r="V121" s="33" t="str">
        <f>IF(UPPER(V$1)="ABCD",MKV_SUPPLYRECORD(T121, "Bid",E121, "Ask",G121, "Id",A121, "Mid",F121, "Name",C121,"DV01",M121,"MidYield",I121,"BidYield",H121,"AskYield",J121),"--")</f>
        <v>--</v>
      </c>
    </row>
    <row r="122" spans="1:22" x14ac:dyDescent="0.2">
      <c r="A122" s="72" t="s">
        <v>243</v>
      </c>
      <c r="B122" s="89">
        <v>49369</v>
      </c>
      <c r="C122" s="47" t="s">
        <v>244</v>
      </c>
      <c r="D122" s="47" t="s">
        <v>245</v>
      </c>
      <c r="E122" s="109">
        <f ca="1"/>
        <v>46.06</v>
      </c>
      <c r="F122" s="109">
        <f ca="1"/>
        <v>46.439681307373263</v>
      </c>
      <c r="G122" s="109">
        <f t="shared" ca="1" si="106"/>
        <v>46.819362614746524</v>
      </c>
      <c r="H122" s="109">
        <f ca="1">_xll.qlBondYieldFromCleanPrice(N122,E122,YieldDayCounter,YieldCompounding,YieldFrequency)*100</f>
        <v>3.88122030657772</v>
      </c>
      <c r="I122" s="109">
        <f ca="1">_xll.qlBondYieldFromCleanPrice(O122,F122,YieldDayCounter,YieldCompounding,YieldFrequency)*100</f>
        <v>3.8393403239548207</v>
      </c>
      <c r="J122" s="109">
        <f ca="1">_xll.qlBondYieldFromCleanPrice(P122,G122,YieldDayCounter,YieldCompounding,YieldFrequency)*100</f>
        <v>3.7978180348265003</v>
      </c>
      <c r="K122" s="109">
        <f ca="1">_xll.qlBondDurationFromYield(O122,I122,YieldDayCounter,YieldCompounding,YieldFrequency,K$2)</f>
        <v>4.2069585411904393</v>
      </c>
      <c r="L122" s="109">
        <f ca="1">_xll.qlBondConvexityFromYield(O122,I122/100,YieldDayCounter,YieldCompounding,YieldFrequency)</f>
        <v>403.28263486891547</v>
      </c>
      <c r="M122" s="109" t="e">
        <f t="shared" ca="1" si="74"/>
        <v>#NAME?</v>
      </c>
      <c r="N122" s="109" t="str">
        <f>_xll.qlZeroCouponBond(,,"EUR",3,"target",100,$B122,"f",100,,,Trigger)</f>
        <v>obj_00268#0001</v>
      </c>
      <c r="O122" s="109" t="str">
        <f>_xll.qlZeroCouponBond(,,"EUR",3,"target",100,$B122,"f",100,,,Trigger)</f>
        <v>obj_0025b#0001</v>
      </c>
      <c r="P122" s="109" t="str">
        <f>_xll.qlZeroCouponBond(,,"EUR",3,"target",100,$B122,"f",100,,,Trigger)</f>
        <v>obj_00329#0001</v>
      </c>
      <c r="Q122" s="109">
        <f t="shared" ca="1" si="107"/>
        <v>46.06</v>
      </c>
      <c r="R122" s="109">
        <f t="shared" ref="R122" ca="1" si="131">Q122</f>
        <v>46.06</v>
      </c>
      <c r="S122" s="33" t="str">
        <f>IF(UPPER(S$1)="ABCD",_xll.RtContribute($D$3,$D122,$Q$3:$R$3,$Q122:$R122,"SCOPE:SERVER"),"--")</f>
        <v>--</v>
      </c>
      <c r="T122" s="33" t="str">
        <f t="shared" si="109"/>
        <v>EUR.PRICING.XLS_STRIPS.IT0004976657</v>
      </c>
      <c r="U122" s="33" t="str">
        <f>IF(UPPER($V$1)="ABCD",MKV_PUBLISHRECORD(T122, "XLS_STRIPS"),"--")</f>
        <v>--</v>
      </c>
      <c r="V122" s="33" t="str">
        <f>IF(UPPER(V$1)="ABCD",MKV_SUPPLYRECORD(T122, "Bid",E122, "Ask",G122, "Id",A122, "Mid",F122, "Name",C122,"DV01",M122,"MidYield",I122,"BidYield",H122,"AskYield",J122),"--")</f>
        <v>--</v>
      </c>
    </row>
    <row r="123" spans="1:22" x14ac:dyDescent="0.2">
      <c r="A123" s="72" t="s">
        <v>87</v>
      </c>
      <c r="B123" s="89">
        <v>49522</v>
      </c>
      <c r="C123" s="47" t="s">
        <v>480</v>
      </c>
      <c r="D123" s="47" t="s">
        <v>481</v>
      </c>
      <c r="E123" s="109">
        <f ca="1"/>
        <v>45.32</v>
      </c>
      <c r="F123" s="109">
        <f ca="1"/>
        <v>45.704794138027026</v>
      </c>
      <c r="G123" s="109">
        <f t="shared" ca="1" si="106"/>
        <v>46.089588276054052</v>
      </c>
      <c r="H123" s="109">
        <f ca="1">_xll.qlBondYieldFromCleanPrice(N123,E123,YieldDayCounter,YieldCompounding,YieldFrequency)*100</f>
        <v>3.882395283645161</v>
      </c>
      <c r="I123" s="109">
        <f ca="1">_xll.qlBondYieldFromCleanPrice(O123,F123,YieldDayCounter,YieldCompounding,YieldFrequency)*100</f>
        <v>3.8401333530380213</v>
      </c>
      <c r="J123" s="109">
        <f ca="1">_xll.qlBondYieldFromCleanPrice(P123,G123,YieldDayCounter,YieldCompounding,YieldFrequency)*100</f>
        <v>3.7982426978647719</v>
      </c>
      <c r="K123" s="109">
        <f ca="1">_xll.qlBondDurationFromYield(O123,I123,YieldDayCounter,YieldCompounding,YieldFrequency,K$2)</f>
        <v>4.2928739099179936</v>
      </c>
      <c r="L123" s="109">
        <f ca="1">_xll.qlBondConvexityFromYield(O123,I123/100,YieldDayCounter,YieldCompounding,YieldFrequency)</f>
        <v>419.65714143260243</v>
      </c>
      <c r="M123" s="109" t="e">
        <f t="shared" ca="1" si="74"/>
        <v>#NAME?</v>
      </c>
      <c r="N123" s="109" t="str">
        <f>_xll.qlZeroCouponBond(,,"EUR",3,"target",100,$B123,"f",100,,,Trigger)</f>
        <v>obj_003b8#0001</v>
      </c>
      <c r="O123" s="109" t="str">
        <f>_xll.qlZeroCouponBond(,,"EUR",3,"target",100,$B123,"f",100,,,Trigger)</f>
        <v>obj_0030a#0001</v>
      </c>
      <c r="P123" s="109" t="str">
        <f>_xll.qlZeroCouponBond(,,"EUR",3,"target",100,$B123,"f",100,,,Trigger)</f>
        <v>obj_003a4#0001</v>
      </c>
      <c r="Q123" s="109">
        <f t="shared" ca="1" si="107"/>
        <v>45.32</v>
      </c>
      <c r="R123" s="109">
        <f t="shared" ref="R123" ca="1" si="132">Q123</f>
        <v>45.32</v>
      </c>
      <c r="S123" s="33" t="str">
        <f>IF(UPPER(S$1)="ABCD",_xll.RtContribute($D$3,$D123,$Q$3:$R$3,$Q123:$R123,"SCOPE:SERVER"),"--")</f>
        <v>--</v>
      </c>
      <c r="T123" s="33" t="str">
        <f t="shared" si="109"/>
        <v>EUR.PRICING.XLS_STRIPS.IT0004002827</v>
      </c>
      <c r="U123" s="33" t="str">
        <f>IF(UPPER($V$1)="ABCD",MKV_PUBLISHRECORD(T123, "XLS_STRIPS"),"--")</f>
        <v>--</v>
      </c>
      <c r="V123" s="33" t="str">
        <f>IF(UPPER(V$1)="ABCD",MKV_SUPPLYRECORD(T123, "Bid",E123, "Ask",G123, "Id",A123, "Mid",F123, "Name",C123,"DV01",M123,"MidYield",I123,"BidYield",H123,"AskYield",J123),"--")</f>
        <v>--</v>
      </c>
    </row>
    <row r="124" spans="1:22" x14ac:dyDescent="0.2">
      <c r="A124" s="72" t="s">
        <v>246</v>
      </c>
      <c r="B124" s="89">
        <v>49553</v>
      </c>
      <c r="C124" s="47" t="s">
        <v>247</v>
      </c>
      <c r="D124" s="47" t="s">
        <v>248</v>
      </c>
      <c r="E124" s="109">
        <f ca="1"/>
        <v>45.17</v>
      </c>
      <c r="F124" s="109">
        <f ca="1"/>
        <v>45.558668755423881</v>
      </c>
      <c r="G124" s="109">
        <f t="shared" ca="1" si="106"/>
        <v>45.94733751084776</v>
      </c>
      <c r="H124" s="109">
        <f ca="1">_xll.qlBondYieldFromCleanPrice(N124,E124,YieldDayCounter,YieldCompounding,YieldFrequency)*100</f>
        <v>3.8817561269165952</v>
      </c>
      <c r="I124" s="109">
        <f ca="1">_xll.qlBondYieldFromCleanPrice(O124,F124,YieldDayCounter,YieldCompounding,YieldFrequency)*100</f>
        <v>3.8391151882708083</v>
      </c>
      <c r="J124" s="109">
        <f ca="1">_xll.qlBondYieldFromCleanPrice(P124,G124,YieldDayCounter,YieldCompounding,YieldFrequency)*100</f>
        <v>3.7968537606298938</v>
      </c>
      <c r="K124" s="109">
        <f ca="1">_xll.qlBondDurationFromYield(O124,I124,YieldDayCounter,YieldCompounding,YieldFrequency,K$2)</f>
        <v>4.3124605095713795</v>
      </c>
      <c r="L124" s="109">
        <f ca="1">_xll.qlBondConvexityFromYield(O124,I124/100,YieldDayCounter,YieldCompounding,YieldFrequency)</f>
        <v>423.24125395452853</v>
      </c>
      <c r="M124" s="109" t="e">
        <f t="shared" ca="1" si="74"/>
        <v>#NAME?</v>
      </c>
      <c r="N124" s="109" t="str">
        <f>_xll.qlZeroCouponBond(,,"EUR",3,"target",100,$B124,"f",100,,,Trigger)</f>
        <v>obj_0031c#0001</v>
      </c>
      <c r="O124" s="109" t="str">
        <f>_xll.qlZeroCouponBond(,,"EUR",3,"target",100,$B124,"f",100,,,Trigger)</f>
        <v>obj_003a0#0001</v>
      </c>
      <c r="P124" s="109" t="str">
        <f>_xll.qlZeroCouponBond(,,"EUR",3,"target",100,$B124,"f",100,,,Trigger)</f>
        <v>obj_0035b#0001</v>
      </c>
      <c r="Q124" s="109">
        <f t="shared" ca="1" si="107"/>
        <v>45.17</v>
      </c>
      <c r="R124" s="109">
        <f t="shared" ref="R124" ca="1" si="133">Q124</f>
        <v>45.17</v>
      </c>
      <c r="S124" s="33" t="str">
        <f>IF(UPPER(S$1)="ABCD",_xll.RtContribute($D$3,$D124,$Q$3:$R$3,$Q124:$R124,"SCOPE:SERVER"),"--")</f>
        <v>--</v>
      </c>
      <c r="T124" s="33" t="str">
        <f t="shared" si="109"/>
        <v>EUR.PRICING.XLS_STRIPS.IT0004976665</v>
      </c>
      <c r="U124" s="33" t="str">
        <f>IF(UPPER($V$1)="ABCD",MKV_PUBLISHRECORD(T124, "XLS_STRIPS"),"--")</f>
        <v>--</v>
      </c>
      <c r="V124" s="33" t="str">
        <f>IF(UPPER(V$1)="ABCD",MKV_SUPPLYRECORD(T124, "Bid",E124, "Ask",G124, "Id",A124, "Mid",F124, "Name",C124,"DV01",M124,"MidYield",I124,"BidYield",H124,"AskYield",J124),"--")</f>
        <v>--</v>
      </c>
    </row>
    <row r="125" spans="1:22" x14ac:dyDescent="0.2">
      <c r="A125" s="72" t="s">
        <v>88</v>
      </c>
      <c r="B125" s="89">
        <v>49706</v>
      </c>
      <c r="C125" s="47" t="s">
        <v>482</v>
      </c>
      <c r="D125" s="47" t="s">
        <v>483</v>
      </c>
      <c r="E125" s="109">
        <f ca="1"/>
        <v>44.44</v>
      </c>
      <c r="F125" s="109">
        <f ca="1"/>
        <v>44.829437454361667</v>
      </c>
      <c r="G125" s="109">
        <f t="shared" ca="1" si="106"/>
        <v>45.218874908723336</v>
      </c>
      <c r="H125" s="109">
        <f ca="1">_xll.qlBondYieldFromCleanPrice(N125,E125,YieldDayCounter,YieldCompounding,YieldFrequency)*100</f>
        <v>3.8843834644254804</v>
      </c>
      <c r="I125" s="109">
        <f ca="1">_xll.qlBondYieldFromCleanPrice(O125,F125,YieldDayCounter,YieldCompounding,YieldFrequency)*100</f>
        <v>3.8418027894191797</v>
      </c>
      <c r="J125" s="109">
        <f ca="1">_xll.qlBondYieldFromCleanPrice(P125,G125,YieldDayCounter,YieldCompounding,YieldFrequency)*100</f>
        <v>3.7996076531708263</v>
      </c>
      <c r="K125" s="109">
        <f ca="1">_xll.qlBondDurationFromYield(O125,I125,YieldDayCounter,YieldCompounding,YieldFrequency,K$2)</f>
        <v>4.395509835165119</v>
      </c>
      <c r="L125" s="109">
        <f ca="1">_xll.qlBondConvexityFromYield(O125,I125/100,YieldDayCounter,YieldCompounding,YieldFrequency)</f>
        <v>439.77427543063817</v>
      </c>
      <c r="M125" s="109" t="e">
        <f t="shared" ca="1" si="74"/>
        <v>#NAME?</v>
      </c>
      <c r="N125" s="109" t="str">
        <f>_xll.qlZeroCouponBond(,,"EUR",3,"target",100,$B125,"f",100,,,Trigger)</f>
        <v>obj_00237#0001</v>
      </c>
      <c r="O125" s="109" t="str">
        <f>_xll.qlZeroCouponBond(,,"EUR",3,"target",100,$B125,"f",100,,,Trigger)</f>
        <v>obj_002c0#0001</v>
      </c>
      <c r="P125" s="109" t="str">
        <f>_xll.qlZeroCouponBond(,,"EUR",3,"target",100,$B125,"f",100,,,Trigger)</f>
        <v>obj_00297#0001</v>
      </c>
      <c r="Q125" s="109">
        <f t="shared" ca="1" si="107"/>
        <v>44.44</v>
      </c>
      <c r="R125" s="109">
        <f t="shared" ref="R125" ca="1" si="134">Q125</f>
        <v>44.44</v>
      </c>
      <c r="S125" s="33" t="str">
        <f>IF(UPPER(S$1)="ABCD",_xll.RtContribute($D$3,$D125,$Q$3:$R$3,$Q125:$R125,"SCOPE:SERVER"),"--")</f>
        <v>--</v>
      </c>
      <c r="T125" s="33" t="str">
        <f t="shared" si="109"/>
        <v>EUR.PRICING.XLS_STRIPS.IT0004002835</v>
      </c>
      <c r="U125" s="33" t="str">
        <f>IF(UPPER($V$1)="ABCD",MKV_PUBLISHRECORD(T125, "XLS_STRIPS"),"--")</f>
        <v>--</v>
      </c>
      <c r="V125" s="33" t="str">
        <f>IF(UPPER(V$1)="ABCD",MKV_SUPPLYRECORD(T125, "Bid",E125, "Ask",G125, "Id",A125, "Mid",F125, "Name",C125,"DV01",M125,"MidYield",I125,"BidYield",H125,"AskYield",J125),"--")</f>
        <v>--</v>
      </c>
    </row>
    <row r="126" spans="1:22" x14ac:dyDescent="0.2">
      <c r="A126" s="72" t="s">
        <v>249</v>
      </c>
      <c r="B126" s="89">
        <v>49735</v>
      </c>
      <c r="C126" s="47" t="s">
        <v>250</v>
      </c>
      <c r="D126" s="47" t="s">
        <v>251</v>
      </c>
      <c r="E126" s="109">
        <f ca="1"/>
        <v>44.3</v>
      </c>
      <c r="F126" s="109">
        <f ca="1"/>
        <v>44.68723623586984</v>
      </c>
      <c r="G126" s="109">
        <f t="shared" ca="1" si="106"/>
        <v>45.074472471739682</v>
      </c>
      <c r="H126" s="109">
        <f ca="1">_xll.qlBondYieldFromCleanPrice(N126,E126,YieldDayCounter,YieldCompounding,YieldFrequency)*100</f>
        <v>3.8844957582652566</v>
      </c>
      <c r="I126" s="109">
        <f ca="1">_xll.qlBondYieldFromCleanPrice(O126,F126,YieldDayCounter,YieldCompounding,YieldFrequency)*100</f>
        <v>3.8421847829152709</v>
      </c>
      <c r="J126" s="109">
        <f ca="1">_xll.qlBondYieldFromCleanPrice(P126,G126,YieldDayCounter,YieldCompounding,YieldFrequency)*100</f>
        <v>3.800255901366473</v>
      </c>
      <c r="K126" s="109">
        <f ca="1">_xll.qlBondDurationFromYield(O126,I126,YieldDayCounter,YieldCompounding,YieldFrequency,K$2)</f>
        <v>4.4121371900188535</v>
      </c>
      <c r="L126" s="109">
        <f ca="1">_xll.qlBondConvexityFromYield(O126,I126/100,YieldDayCounter,YieldCompounding,YieldFrequency)</f>
        <v>443.09787238803682</v>
      </c>
      <c r="M126" s="109" t="e">
        <f t="shared" ca="1" si="74"/>
        <v>#NAME?</v>
      </c>
      <c r="N126" s="109" t="str">
        <f>_xll.qlZeroCouponBond(,,"EUR",3,"target",100,$B126,"f",100,,,Trigger)</f>
        <v>obj_00392#0001</v>
      </c>
      <c r="O126" s="109" t="str">
        <f>_xll.qlZeroCouponBond(,,"EUR",3,"target",100,$B126,"f",100,,,Trigger)</f>
        <v>obj_003bf#0001</v>
      </c>
      <c r="P126" s="109" t="str">
        <f>_xll.qlZeroCouponBond(,,"EUR",3,"target",100,$B126,"f",100,,,Trigger)</f>
        <v>obj_00240#0001</v>
      </c>
      <c r="Q126" s="109">
        <f t="shared" ca="1" si="107"/>
        <v>44.3</v>
      </c>
      <c r="R126" s="109">
        <f t="shared" ref="R126" ca="1" si="135">Q126</f>
        <v>44.3</v>
      </c>
      <c r="S126" s="33" t="str">
        <f>IF(UPPER(S$1)="ABCD",_xll.RtContribute($D$3,$D126,$Q$3:$R$3,$Q126:$R126,"SCOPE:SERVER"),"--")</f>
        <v>--</v>
      </c>
      <c r="T126" s="33" t="str">
        <f t="shared" si="109"/>
        <v>EUR.PRICING.XLS_STRIPS.IT0004976673</v>
      </c>
      <c r="U126" s="33" t="str">
        <f>IF(UPPER($V$1)="ABCD",MKV_PUBLISHRECORD(T126, "XLS_STRIPS"),"--")</f>
        <v>--</v>
      </c>
      <c r="V126" s="33" t="str">
        <f>IF(UPPER(V$1)="ABCD",MKV_SUPPLYRECORD(T126, "Bid",E126, "Ask",G126, "Id",A126, "Mid",F126, "Name",C126,"DV01",M126,"MidYield",I126,"BidYield",H126,"AskYield",J126),"--")</f>
        <v>--</v>
      </c>
    </row>
    <row r="127" spans="1:22" x14ac:dyDescent="0.2">
      <c r="A127" s="72" t="s">
        <v>89</v>
      </c>
      <c r="B127" s="89">
        <v>49888</v>
      </c>
      <c r="C127" s="47" t="s">
        <v>484</v>
      </c>
      <c r="D127" s="47" t="s">
        <v>485</v>
      </c>
      <c r="E127" s="109">
        <f ca="1"/>
        <v>43.51</v>
      </c>
      <c r="F127" s="109">
        <f ca="1"/>
        <v>43.896325043693224</v>
      </c>
      <c r="G127" s="109">
        <f t="shared" ca="1" si="106"/>
        <v>44.28265008738645</v>
      </c>
      <c r="H127" s="109">
        <f ca="1">_xll.qlBondYieldFromCleanPrice(N127,E127,YieldDayCounter,YieldCompounding,YieldFrequency)*100</f>
        <v>3.8951243631541734</v>
      </c>
      <c r="I127" s="109">
        <f ca="1">_xll.qlBondYieldFromCleanPrice(O127,F127,YieldDayCounter,YieldCompounding,YieldFrequency)*100</f>
        <v>3.8529614783823494</v>
      </c>
      <c r="J127" s="109">
        <f ca="1">_xll.qlBondYieldFromCleanPrice(P127,G127,YieldDayCounter,YieldCompounding,YieldFrequency)*100</f>
        <v>3.8111849389970311</v>
      </c>
      <c r="K127" s="109">
        <f ca="1">_xll.qlBondDurationFromYield(O127,I127,YieldDayCounter,YieldCompounding,YieldFrequency,K$2)</f>
        <v>4.4875860417998146</v>
      </c>
      <c r="L127" s="109">
        <f ca="1">_xll.qlBondConvexityFromYield(O127,I127/100,YieldDayCounter,YieldCompounding,YieldFrequency)</f>
        <v>459.9377087709392</v>
      </c>
      <c r="M127" s="109" t="e">
        <f t="shared" ca="1" si="74"/>
        <v>#NAME?</v>
      </c>
      <c r="N127" s="109" t="str">
        <f>_xll.qlZeroCouponBond(,,"EUR",3,"target",100,$B127,"f",100,,,Trigger)</f>
        <v>obj_002fd#0001</v>
      </c>
      <c r="O127" s="109" t="str">
        <f>_xll.qlZeroCouponBond(,,"EUR",3,"target",100,$B127,"f",100,,,Trigger)</f>
        <v>obj_002a2#0001</v>
      </c>
      <c r="P127" s="109" t="str">
        <f>_xll.qlZeroCouponBond(,,"EUR",3,"target",100,$B127,"f",100,,,Trigger)</f>
        <v>obj_003ce#0001</v>
      </c>
      <c r="Q127" s="109">
        <f t="shared" ca="1" si="107"/>
        <v>43.51</v>
      </c>
      <c r="R127" s="109">
        <f t="shared" ref="R127" ca="1" si="136">Q127</f>
        <v>43.51</v>
      </c>
      <c r="S127" s="33" t="str">
        <f>IF(UPPER(S$1)="ABCD",_xll.RtContribute($D$3,$D127,$Q$3:$R$3,$Q127:$R127,"SCOPE:SERVER"),"--")</f>
        <v>--</v>
      </c>
      <c r="T127" s="33" t="str">
        <f t="shared" si="109"/>
        <v>EUR.PRICING.XLS_STRIPS.IT0004002843</v>
      </c>
      <c r="U127" s="33" t="str">
        <f>IF(UPPER($V$1)="ABCD",MKV_PUBLISHRECORD(T127, "XLS_STRIPS"),"--")</f>
        <v>--</v>
      </c>
      <c r="V127" s="33" t="str">
        <f>IF(UPPER(V$1)="ABCD",MKV_SUPPLYRECORD(T127, "Bid",E127, "Ask",G127, "Id",A127, "Mid",F127, "Name",C127,"DV01",M127,"MidYield",I127,"BidYield",H127,"AskYield",J127),"--")</f>
        <v>--</v>
      </c>
    </row>
    <row r="128" spans="1:22" x14ac:dyDescent="0.2">
      <c r="A128" s="72" t="s">
        <v>252</v>
      </c>
      <c r="B128" s="89">
        <v>49919</v>
      </c>
      <c r="C128" s="47" t="s">
        <v>253</v>
      </c>
      <c r="D128" s="47" t="s">
        <v>254</v>
      </c>
      <c r="E128" s="109">
        <f ca="1"/>
        <v>43.34</v>
      </c>
      <c r="F128" s="109">
        <f ca="1"/>
        <v>43.725302136751985</v>
      </c>
      <c r="G128" s="109">
        <f t="shared" ca="1" si="106"/>
        <v>44.110604273503967</v>
      </c>
      <c r="H128" s="109">
        <f ca="1">_xll.qlBondYieldFromCleanPrice(N128,E128,YieldDayCounter,YieldCompounding,YieldFrequency)*100</f>
        <v>3.8983055330812935</v>
      </c>
      <c r="I128" s="109">
        <f ca="1">_xll.qlBondYieldFromCleanPrice(O128,F128,YieldDayCounter,YieldCompounding,YieldFrequency)*100</f>
        <v>3.8562522716820258</v>
      </c>
      <c r="J128" s="109">
        <f ca="1">_xll.qlBondYieldFromCleanPrice(P128,G128,YieldDayCounter,YieldCompounding,YieldFrequency)*100</f>
        <v>3.8145847745239743</v>
      </c>
      <c r="K128" s="109">
        <f ca="1">_xll.qlBondDurationFromYield(O128,I128,YieldDayCounter,YieldCompounding,YieldFrequency,K$2)</f>
        <v>4.5020341768731047</v>
      </c>
      <c r="L128" s="109">
        <f ca="1">_xll.qlBondConvexityFromYield(O128,I128/100,YieldDayCounter,YieldCompounding,YieldFrequency)</f>
        <v>463.42366768025232</v>
      </c>
      <c r="M128" s="109" t="e">
        <f t="shared" ca="1" si="74"/>
        <v>#NAME?</v>
      </c>
      <c r="N128" s="109" t="str">
        <f>_xll.qlZeroCouponBond(,,"EUR",3,"target",100,$B128,"f",100,,,Trigger)</f>
        <v>obj_00234#0001</v>
      </c>
      <c r="O128" s="109" t="str">
        <f>_xll.qlZeroCouponBond(,,"EUR",3,"target",100,$B128,"f",100,,,Trigger)</f>
        <v>obj_00365#0001</v>
      </c>
      <c r="P128" s="109" t="str">
        <f>_xll.qlZeroCouponBond(,,"EUR",3,"target",100,$B128,"f",100,,,Trigger)</f>
        <v>obj_0036a#0001</v>
      </c>
      <c r="Q128" s="109">
        <f t="shared" ca="1" si="107"/>
        <v>43.34</v>
      </c>
      <c r="R128" s="109">
        <f t="shared" ref="R128" ca="1" si="137">Q128</f>
        <v>43.34</v>
      </c>
      <c r="S128" s="33" t="str">
        <f>IF(UPPER(S$1)="ABCD",_xll.RtContribute($D$3,$D128,$Q$3:$R$3,$Q128:$R128,"SCOPE:SERVER"),"--")</f>
        <v>--</v>
      </c>
      <c r="T128" s="33" t="str">
        <f t="shared" si="109"/>
        <v>EUR.PRICING.XLS_STRIPS.IT0004976681</v>
      </c>
      <c r="U128" s="33" t="str">
        <f>IF(UPPER($V$1)="ABCD",MKV_PUBLISHRECORD(T128, "XLS_STRIPS"),"--")</f>
        <v>--</v>
      </c>
      <c r="V128" s="33" t="str">
        <f>IF(UPPER(V$1)="ABCD",MKV_SUPPLYRECORD(T128, "Bid",E128, "Ask",G128, "Id",A128, "Mid",F128, "Name",C128,"DV01",M128,"MidYield",I128,"BidYield",H128,"AskYield",J128),"--")</f>
        <v>--</v>
      </c>
    </row>
    <row r="129" spans="1:22" x14ac:dyDescent="0.2">
      <c r="A129" s="72" t="s">
        <v>486</v>
      </c>
      <c r="B129" s="89">
        <v>50072</v>
      </c>
      <c r="C129" s="47" t="s">
        <v>487</v>
      </c>
      <c r="D129" s="47" t="s">
        <v>488</v>
      </c>
      <c r="E129" s="109">
        <f ca="1"/>
        <v>42.42</v>
      </c>
      <c r="F129" s="109">
        <f ca="1"/>
        <v>42.810088469680203</v>
      </c>
      <c r="G129" s="109">
        <f t="shared" ca="1" si="106"/>
        <v>43.200176939360404</v>
      </c>
      <c r="H129" s="109">
        <f ca="1">_xll.qlBondYieldFromCleanPrice(N129,E129,YieldDayCounter,YieldCompounding,YieldFrequency)*100</f>
        <v>3.9231159445398665</v>
      </c>
      <c r="I129" s="109">
        <f ca="1">_xll.qlBondYieldFromCleanPrice(O129,F129,YieldDayCounter,YieldCompounding,YieldFrequency)*100</f>
        <v>3.880436884611846</v>
      </c>
      <c r="J129" s="109">
        <f ca="1">_xll.qlBondYieldFromCleanPrice(P129,G129,YieldDayCounter,YieldCompounding,YieldFrequency)*100</f>
        <v>3.8381622456014162</v>
      </c>
      <c r="K129" s="109">
        <f ca="1">_xll.qlBondDurationFromYield(O129,I129,YieldDayCounter,YieldCompounding,YieldFrequency,K$2)</f>
        <v>4.5661755358653089</v>
      </c>
      <c r="L129" s="109">
        <f ca="1">_xll.qlBondConvexityFromYield(O129,I129/100,YieldDayCounter,YieldCompounding,YieldFrequency)</f>
        <v>480.86009012501131</v>
      </c>
      <c r="M129" s="109" t="e">
        <f t="shared" ca="1" si="74"/>
        <v>#NAME?</v>
      </c>
      <c r="N129" s="109" t="str">
        <f>_xll.qlZeroCouponBond(,,"EUR",3,"target",100,$B129,"f",100,,,Trigger)</f>
        <v>obj_003d9#0001</v>
      </c>
      <c r="O129" s="109" t="str">
        <f>_xll.qlZeroCouponBond(,,"EUR",3,"target",100,$B129,"f",100,,,Trigger)</f>
        <v>obj_0022c#0001</v>
      </c>
      <c r="P129" s="109" t="str">
        <f>_xll.qlZeroCouponBond(,,"EUR",3,"target",100,$B129,"f",100,,,Trigger)</f>
        <v>obj_0024e#0001</v>
      </c>
      <c r="Q129" s="109">
        <f t="shared" ca="1" si="107"/>
        <v>42.42</v>
      </c>
      <c r="R129" s="109">
        <f t="shared" ref="R129" ca="1" si="138">Q129</f>
        <v>42.42</v>
      </c>
      <c r="S129" s="33" t="str">
        <f>IF(UPPER(S$1)="ABCD",_xll.RtContribute($D$3,$D129,$Q$3:$R$3,$Q129:$R129,"SCOPE:SERVER"),"--")</f>
        <v>--</v>
      </c>
      <c r="T129" s="33" t="str">
        <f t="shared" si="109"/>
        <v>EUR.PRICING.XLS_STRIPS.IT0004848641</v>
      </c>
      <c r="U129" s="33" t="str">
        <f>IF(UPPER($V$1)="ABCD",MKV_PUBLISHRECORD(T129, "XLS_STRIPS"),"--")</f>
        <v>--</v>
      </c>
      <c r="V129" s="33" t="str">
        <f>IF(UPPER(V$1)="ABCD",MKV_SUPPLYRECORD(T129, "Bid",E129, "Ask",G129, "Id",A129, "Mid",F129, "Name",C129,"DV01",M129,"MidYield",I129,"BidYield",H129,"AskYield",J129),"--")</f>
        <v>--</v>
      </c>
    </row>
    <row r="130" spans="1:22" x14ac:dyDescent="0.2">
      <c r="A130" s="72" t="s">
        <v>255</v>
      </c>
      <c r="B130" s="89">
        <v>50100</v>
      </c>
      <c r="C130" s="47" t="s">
        <v>256</v>
      </c>
      <c r="D130" s="47" t="s">
        <v>257</v>
      </c>
      <c r="E130" s="109">
        <f ca="1"/>
        <v>42.24</v>
      </c>
      <c r="F130" s="109">
        <f ca="1"/>
        <v>42.62797606128899</v>
      </c>
      <c r="G130" s="109">
        <f t="shared" ca="1" si="106"/>
        <v>43.015952122577978</v>
      </c>
      <c r="H130" s="109">
        <f ca="1">_xll.qlBondYieldFromCleanPrice(N130,E130,YieldDayCounter,YieldCompounding,YieldFrequency)*100</f>
        <v>3.9291592428077622</v>
      </c>
      <c r="I130" s="109">
        <f ca="1">_xll.qlBondYieldFromCleanPrice(O130,F130,YieldDayCounter,YieldCompounding,YieldFrequency)*100</f>
        <v>3.8866739101707943</v>
      </c>
      <c r="J130" s="109">
        <f ca="1">_xll.qlBondYieldFromCleanPrice(P130,G130,YieldDayCounter,YieldCompounding,YieldFrequency)*100</f>
        <v>3.8445906423032277</v>
      </c>
      <c r="K130" s="109">
        <f ca="1">_xll.qlBondDurationFromYield(O130,I130,YieldDayCounter,YieldCompounding,YieldFrequency,K$2)</f>
        <v>4.5760458435899354</v>
      </c>
      <c r="L130" s="109">
        <f ca="1">_xll.qlBondConvexityFromYield(O130,I130/100,YieldDayCounter,YieldCompounding,YieldFrequency)</f>
        <v>484.04689734823154</v>
      </c>
      <c r="M130" s="109" t="e">
        <f t="shared" ca="1" si="74"/>
        <v>#NAME?</v>
      </c>
      <c r="N130" s="109" t="str">
        <f>_xll.qlZeroCouponBond(,,"EUR",3,"target",100,$B130,"f",100,,,Trigger)</f>
        <v>obj_003c0#0001</v>
      </c>
      <c r="O130" s="109" t="str">
        <f>_xll.qlZeroCouponBond(,,"EUR",3,"target",100,$B130,"f",100,,,Trigger)</f>
        <v>obj_0033a#0001</v>
      </c>
      <c r="P130" s="109" t="str">
        <f>_xll.qlZeroCouponBond(,,"EUR",3,"target",100,$B130,"f",100,,,Trigger)</f>
        <v>obj_002d5#0001</v>
      </c>
      <c r="Q130" s="109">
        <f t="shared" ca="1" si="107"/>
        <v>42.24</v>
      </c>
      <c r="R130" s="109">
        <f t="shared" ref="R130" ca="1" si="139">Q130</f>
        <v>42.24</v>
      </c>
      <c r="S130" s="33" t="str">
        <f>IF(UPPER(S$1)="ABCD",_xll.RtContribute($D$3,$D130,$Q$3:$R$3,$Q130:$R130,"SCOPE:SERVER"),"--")</f>
        <v>--</v>
      </c>
      <c r="T130" s="33" t="str">
        <f t="shared" si="109"/>
        <v>EUR.PRICING.XLS_STRIPS.IT0004976699</v>
      </c>
      <c r="U130" s="33" t="str">
        <f>IF(UPPER($V$1)="ABCD",MKV_PUBLISHRECORD(T130, "XLS_STRIPS"),"--")</f>
        <v>--</v>
      </c>
      <c r="V130" s="33" t="str">
        <f>IF(UPPER(V$1)="ABCD",MKV_SUPPLYRECORD(T130, "Bid",E130, "Ask",G130, "Id",A130, "Mid",F130, "Name",C130,"DV01",M130,"MidYield",I130,"BidYield",H130,"AskYield",J130),"--")</f>
        <v>--</v>
      </c>
    </row>
    <row r="131" spans="1:22" x14ac:dyDescent="0.2">
      <c r="A131" s="72" t="s">
        <v>90</v>
      </c>
      <c r="B131" s="89">
        <v>50253</v>
      </c>
      <c r="C131" s="47" t="s">
        <v>489</v>
      </c>
      <c r="D131" s="47" t="s">
        <v>490</v>
      </c>
      <c r="E131" s="109">
        <f ca="1"/>
        <v>41.18</v>
      </c>
      <c r="F131" s="109">
        <f ca="1"/>
        <v>41.559685886913698</v>
      </c>
      <c r="G131" s="109">
        <f t="shared" ca="1" si="106"/>
        <v>41.939371773827396</v>
      </c>
      <c r="H131" s="109">
        <f ca="1">_xll.qlBondYieldFromCleanPrice(N131,E131,YieldDayCounter,YieldCompounding,YieldFrequency)*100</f>
        <v>3.9709267213849806</v>
      </c>
      <c r="I131" s="109">
        <f ca="1">_xll.qlBondYieldFromCleanPrice(O131,F131,YieldDayCounter,YieldCompounding,YieldFrequency)*100</f>
        <v>3.9290525354444981</v>
      </c>
      <c r="J131" s="109">
        <f ca="1">_xll.qlBondYieldFromCleanPrice(P131,G131,YieldDayCounter,YieldCompounding,YieldFrequency)*100</f>
        <v>3.8875758001300982</v>
      </c>
      <c r="K131" s="109">
        <f ca="1">_xll.qlBondDurationFromYield(O131,I131,YieldDayCounter,YieldCompounding,YieldFrequency,K$2)</f>
        <v>4.6223004279221014</v>
      </c>
      <c r="L131" s="109">
        <f ca="1">_xll.qlBondConvexityFromYield(O131,I131/100,YieldDayCounter,YieldCompounding,YieldFrequency)</f>
        <v>501.67744022088033</v>
      </c>
      <c r="M131" s="109" t="e">
        <f t="shared" ca="1" si="74"/>
        <v>#NAME?</v>
      </c>
      <c r="N131" s="109" t="str">
        <f>_xll.qlZeroCouponBond(,,"EUR",3,"target",100,$B131,"f",100,,,Trigger)</f>
        <v>obj_003a3#0001</v>
      </c>
      <c r="O131" s="109" t="str">
        <f>_xll.qlZeroCouponBond(,,"EUR",3,"target",100,$B131,"f",100,,,Trigger)</f>
        <v>obj_002bf#0001</v>
      </c>
      <c r="P131" s="109" t="str">
        <f>_xll.qlZeroCouponBond(,,"EUR",3,"target",100,$B131,"f",100,,,Trigger)</f>
        <v>obj_00368#0001</v>
      </c>
      <c r="Q131" s="109">
        <f t="shared" ca="1" si="107"/>
        <v>41.18</v>
      </c>
      <c r="R131" s="109">
        <f t="shared" ref="R131" ca="1" si="140">Q131</f>
        <v>41.18</v>
      </c>
      <c r="S131" s="33" t="str">
        <f>IF(UPPER(S$1)="ABCD",_xll.RtContribute($D$3,$D131,$Q$3:$R$3,$Q131:$R131,"SCOPE:SERVER"),"--")</f>
        <v>--</v>
      </c>
      <c r="T131" s="33" t="str">
        <f t="shared" si="109"/>
        <v>EUR.PRICING.XLS_STRIPS.IT0004288590</v>
      </c>
      <c r="U131" s="33" t="str">
        <f>IF(UPPER($V$1)="ABCD",MKV_PUBLISHRECORD(T131, "XLS_STRIPS"),"--")</f>
        <v>--</v>
      </c>
      <c r="V131" s="33" t="str">
        <f>IF(UPPER(V$1)="ABCD",MKV_SUPPLYRECORD(T131, "Bid",E131, "Ask",G131, "Id",A131, "Mid",F131, "Name",C131,"DV01",M131,"MidYield",I131,"BidYield",H131,"AskYield",J131),"--")</f>
        <v>--</v>
      </c>
    </row>
    <row r="132" spans="1:22" x14ac:dyDescent="0.2">
      <c r="A132" s="72" t="s">
        <v>258</v>
      </c>
      <c r="B132" s="89">
        <v>50284</v>
      </c>
      <c r="C132" s="47" t="s">
        <v>259</v>
      </c>
      <c r="D132" s="47" t="s">
        <v>260</v>
      </c>
      <c r="E132" s="109">
        <f ca="1"/>
        <v>40.950000000000003</v>
      </c>
      <c r="F132" s="109">
        <f ca="1"/>
        <v>41.330897422333663</v>
      </c>
      <c r="G132" s="109">
        <f t="shared" ref="G132:G150" ca="1" si="141">2*F132-E132</f>
        <v>41.711794844667324</v>
      </c>
      <c r="H132" s="109">
        <f ca="1">_xll.qlBondYieldFromCleanPrice(N132,E132,YieldDayCounter,YieldCompounding,YieldFrequency)*100</f>
        <v>3.9823278091847909</v>
      </c>
      <c r="I132" s="109">
        <f ca="1">_xll.qlBondYieldFromCleanPrice(O132,F132,YieldDayCounter,YieldCompounding,YieldFrequency)*100</f>
        <v>3.9402279786765595</v>
      </c>
      <c r="J132" s="109">
        <f ca="1">_xll.qlBondYieldFromCleanPrice(P132,G132,YieldDayCounter,YieldCompounding,YieldFrequency)*100</f>
        <v>3.8985311917960646</v>
      </c>
      <c r="K132" s="109">
        <f ca="1">_xll.qlBondDurationFromYield(O132,I132,YieldDayCounter,YieldCompounding,YieldFrequency,K$2)</f>
        <v>4.6279268481765339</v>
      </c>
      <c r="L132" s="109">
        <f ca="1">_xll.qlBondConvexityFromYield(O132,I132/100,YieldDayCounter,YieldCompounding,YieldFrequency)</f>
        <v>505.00006847114435</v>
      </c>
      <c r="M132" s="109" t="e">
        <f t="shared" ca="1" si="74"/>
        <v>#NAME?</v>
      </c>
      <c r="N132" s="109" t="str">
        <f>_xll.qlZeroCouponBond(,,"EUR",3,"target",100,$B132,"f",100,,,Trigger)</f>
        <v>obj_002ca#0001</v>
      </c>
      <c r="O132" s="109" t="str">
        <f>_xll.qlZeroCouponBond(,,"EUR",3,"target",100,$B132,"f",100,,,Trigger)</f>
        <v>obj_0038d#0001</v>
      </c>
      <c r="P132" s="109" t="str">
        <f>_xll.qlZeroCouponBond(,,"EUR",3,"target",100,$B132,"f",100,,,Trigger)</f>
        <v>obj_003d5#0001</v>
      </c>
      <c r="Q132" s="109">
        <f t="shared" ref="Q132:Q150" ca="1" si="142">E132</f>
        <v>40.950000000000003</v>
      </c>
      <c r="R132" s="109">
        <f t="shared" ref="R132" ca="1" si="143">Q132</f>
        <v>40.950000000000003</v>
      </c>
      <c r="S132" s="33" t="str">
        <f>IF(UPPER(S$1)="ABCD",_xll.RtContribute($D$3,$D132,$Q$3:$R$3,$Q132:$R132,"SCOPE:SERVER"),"--")</f>
        <v>--</v>
      </c>
      <c r="T132" s="33" t="str">
        <f t="shared" ref="T132:T150" si="144">T$3&amp;A132</f>
        <v>EUR.PRICING.XLS_STRIPS.IT0004976707</v>
      </c>
      <c r="U132" s="33" t="str">
        <f>IF(UPPER($V$1)="ABCD",MKV_PUBLISHRECORD(T132, "XLS_STRIPS"),"--")</f>
        <v>--</v>
      </c>
      <c r="V132" s="33" t="str">
        <f>IF(UPPER(V$1)="ABCD",MKV_SUPPLYRECORD(T132, "Bid",E132, "Ask",G132, "Id",A132, "Mid",F132, "Name",C132,"DV01",M132,"MidYield",I132,"BidYield",H132,"AskYield",J132),"--")</f>
        <v>--</v>
      </c>
    </row>
    <row r="133" spans="1:22" x14ac:dyDescent="0.2">
      <c r="A133" s="72" t="s">
        <v>91</v>
      </c>
      <c r="B133" s="89">
        <v>50437</v>
      </c>
      <c r="C133" s="47" t="s">
        <v>491</v>
      </c>
      <c r="D133" s="47" t="s">
        <v>492</v>
      </c>
      <c r="E133" s="109">
        <f ca="1"/>
        <v>39.78</v>
      </c>
      <c r="F133" s="109">
        <f ca="1"/>
        <v>40.161380506109204</v>
      </c>
      <c r="G133" s="109">
        <f t="shared" ca="1" si="141"/>
        <v>40.542761012218406</v>
      </c>
      <c r="H133" s="109">
        <f ca="1">_xll.qlBondYieldFromCleanPrice(N133,E133,YieldDayCounter,YieldCompounding,YieldFrequency)*100</f>
        <v>4.0386986501514928</v>
      </c>
      <c r="I133" s="109">
        <f ca="1">_xll.qlBondYieldFromCleanPrice(O133,F133,YieldDayCounter,YieldCompounding,YieldFrequency)*100</f>
        <v>3.9960699386894714</v>
      </c>
      <c r="J133" s="109">
        <f ca="1">_xll.qlBondYieldFromCleanPrice(P133,G133,YieldDayCounter,YieldCompounding,YieldFrequency)*100</f>
        <v>3.9538613541995797</v>
      </c>
      <c r="K133" s="109">
        <f ca="1">_xll.qlBondDurationFromYield(O133,I133,YieldDayCounter,YieldCompounding,YieldFrequency,K$2)</f>
        <v>4.6601012528918107</v>
      </c>
      <c r="L133" s="109">
        <f ca="1">_xll.qlBondConvexityFromYield(O133,I133/100,YieldDayCounter,YieldCompounding,YieldFrequency)</f>
        <v>522.73056198788129</v>
      </c>
      <c r="M133" s="109" t="e">
        <f t="shared" ref="M133:M150" ca="1" si="145">_xll.BDP(A133&amp;" Corp","risk mid")</f>
        <v>#NAME?</v>
      </c>
      <c r="N133" s="109" t="str">
        <f>_xll.qlZeroCouponBond(,,"EUR",3,"target",100,$B133,"f",100,,,Trigger)</f>
        <v>obj_00335#0001</v>
      </c>
      <c r="O133" s="109" t="str">
        <f>_xll.qlZeroCouponBond(,,"EUR",3,"target",100,$B133,"f",100,,,Trigger)</f>
        <v>obj_002b7#0001</v>
      </c>
      <c r="P133" s="109" t="str">
        <f>_xll.qlZeroCouponBond(,,"EUR",3,"target",100,$B133,"f",100,,,Trigger)</f>
        <v>obj_00261#0001</v>
      </c>
      <c r="Q133" s="109">
        <f t="shared" ca="1" si="142"/>
        <v>39.78</v>
      </c>
      <c r="R133" s="109">
        <f t="shared" ref="R133" ca="1" si="146">Q133</f>
        <v>39.78</v>
      </c>
      <c r="S133" s="33" t="str">
        <f>IF(UPPER(S$1)="ABCD",_xll.RtContribute($D$3,$D133,$Q$3:$R$3,$Q133:$R133,"SCOPE:SERVER"),"--")</f>
        <v>--</v>
      </c>
      <c r="T133" s="33" t="str">
        <f t="shared" si="144"/>
        <v>EUR.PRICING.XLS_STRIPS.IT0004288608</v>
      </c>
      <c r="U133" s="33" t="str">
        <f>IF(UPPER($V$1)="ABCD",MKV_PUBLISHRECORD(T133, "XLS_STRIPS"),"--")</f>
        <v>--</v>
      </c>
      <c r="V133" s="33" t="str">
        <f>IF(UPPER(V$1)="ABCD",MKV_SUPPLYRECORD(T133, "Bid",E133, "Ask",G133, "Id",A133, "Mid",F133, "Name",C133,"DV01",M133,"MidYield",I133,"BidYield",H133,"AskYield",J133),"--")</f>
        <v>--</v>
      </c>
    </row>
    <row r="134" spans="1:22" x14ac:dyDescent="0.2">
      <c r="A134" s="72" t="s">
        <v>261</v>
      </c>
      <c r="B134" s="89">
        <v>50465</v>
      </c>
      <c r="C134" s="47" t="s">
        <v>262</v>
      </c>
      <c r="D134" s="47" t="s">
        <v>263</v>
      </c>
      <c r="E134" s="109">
        <f ca="1"/>
        <v>39.57</v>
      </c>
      <c r="F134" s="109">
        <f ca="1"/>
        <v>39.942302717258293</v>
      </c>
      <c r="G134" s="109">
        <f t="shared" ca="1" si="141"/>
        <v>40.314605434516587</v>
      </c>
      <c r="H134" s="109">
        <f ca="1">_xll.qlBondYieldFromCleanPrice(N134,E134,YieldDayCounter,YieldCompounding,YieldFrequency)*100</f>
        <v>4.0487461291253561</v>
      </c>
      <c r="I134" s="109">
        <f ca="1">_xll.qlBondYieldFromCleanPrice(O134,F134,YieldDayCounter,YieldCompounding,YieldFrequency)*100</f>
        <v>4.0070407219231132</v>
      </c>
      <c r="J134" s="109">
        <f ca="1">_xll.qlBondYieldFromCleanPrice(P134,G134,YieldDayCounter,YieldCompounding,YieldFrequency)*100</f>
        <v>3.9657387472994974</v>
      </c>
      <c r="K134" s="109">
        <f ca="1">_xll.qlBondDurationFromYield(O134,I134,YieldDayCounter,YieldCompounding,YieldFrequency,K$2)</f>
        <v>4.6652115304980599</v>
      </c>
      <c r="L134" s="109">
        <f ca="1">_xll.qlBondConvexityFromYield(O134,I134/100,YieldDayCounter,YieldCompounding,YieldFrequency)</f>
        <v>525.99877196054206</v>
      </c>
      <c r="M134" s="109" t="e">
        <f t="shared" ca="1" si="145"/>
        <v>#NAME?</v>
      </c>
      <c r="N134" s="109" t="str">
        <f>_xll.qlZeroCouponBond(,,"EUR",3,"target",100,$B134,"f",100,,,Trigger)</f>
        <v>obj_002d2#0001</v>
      </c>
      <c r="O134" s="109" t="str">
        <f>_xll.qlZeroCouponBond(,,"EUR",3,"target",100,$B134,"f",100,,,Trigger)</f>
        <v>obj_002be#0001</v>
      </c>
      <c r="P134" s="109" t="str">
        <f>_xll.qlZeroCouponBond(,,"EUR",3,"target",100,$B134,"f",100,,,Trigger)</f>
        <v>obj_002b6#0001</v>
      </c>
      <c r="Q134" s="109">
        <f t="shared" ca="1" si="142"/>
        <v>39.57</v>
      </c>
      <c r="R134" s="109">
        <f t="shared" ref="R134" ca="1" si="147">Q134</f>
        <v>39.57</v>
      </c>
      <c r="S134" s="33" t="str">
        <f>IF(UPPER(S$1)="ABCD",_xll.RtContribute($D$3,$D134,$Q$3:$R$3,$Q134:$R134,"SCOPE:SERVER"),"--")</f>
        <v>--</v>
      </c>
      <c r="T134" s="33" t="str">
        <f t="shared" si="144"/>
        <v>EUR.PRICING.XLS_STRIPS.IT0004976715</v>
      </c>
      <c r="U134" s="33" t="str">
        <f>IF(UPPER($V$1)="ABCD",MKV_PUBLISHRECORD(T134, "XLS_STRIPS"),"--")</f>
        <v>--</v>
      </c>
      <c r="V134" s="33" t="str">
        <f>IF(UPPER(V$1)="ABCD",MKV_SUPPLYRECORD(T134, "Bid",E134, "Ask",G134, "Id",A134, "Mid",F134, "Name",C134,"DV01",M134,"MidYield",I134,"BidYield",H134,"AskYield",J134),"--")</f>
        <v>--</v>
      </c>
    </row>
    <row r="135" spans="1:22" x14ac:dyDescent="0.2">
      <c r="A135" s="72" t="s">
        <v>92</v>
      </c>
      <c r="B135" s="89">
        <v>50618</v>
      </c>
      <c r="C135" s="47" t="s">
        <v>493</v>
      </c>
      <c r="D135" s="47" t="s">
        <v>494</v>
      </c>
      <c r="E135" s="109">
        <f ca="1"/>
        <v>38.36</v>
      </c>
      <c r="F135" s="109">
        <f ca="1"/>
        <v>38.735565448283801</v>
      </c>
      <c r="G135" s="109">
        <f t="shared" ca="1" si="141"/>
        <v>39.111130896567602</v>
      </c>
      <c r="H135" s="109">
        <f ca="1">_xll.qlBondYieldFromCleanPrice(N135,E135,YieldDayCounter,YieldCompounding,YieldFrequency)*100</f>
        <v>4.1113774704348041</v>
      </c>
      <c r="I135" s="109">
        <f ca="1">_xll.qlBondYieldFromCleanPrice(O135,F135,YieldDayCounter,YieldCompounding,YieldFrequency)*100</f>
        <v>4.0687320835888388</v>
      </c>
      <c r="J135" s="109">
        <f ca="1">_xll.qlBondYieldFromCleanPrice(P135,G135,YieldDayCounter,YieldCompounding,YieldFrequency)*100</f>
        <v>4.0265154029056829</v>
      </c>
      <c r="K135" s="109">
        <f ca="1">_xll.qlBondDurationFromYield(O135,I135,YieldDayCounter,YieldCompounding,YieldFrequency,K$2)</f>
        <v>4.6916707227047922</v>
      </c>
      <c r="L135" s="109">
        <f ca="1">_xll.qlBondConvexityFromYield(O135,I135/100,YieldDayCounter,YieldCompounding,YieldFrequency)</f>
        <v>544.1292103895554</v>
      </c>
      <c r="M135" s="109" t="e">
        <f t="shared" ca="1" si="145"/>
        <v>#NAME?</v>
      </c>
      <c r="N135" s="109" t="str">
        <f>_xll.qlZeroCouponBond(,,"EUR",3,"target",100,$B135,"f",100,,,Trigger)</f>
        <v>obj_00262#0001</v>
      </c>
      <c r="O135" s="109" t="str">
        <f>_xll.qlZeroCouponBond(,,"EUR",3,"target",100,$B135,"f",100,,,Trigger)</f>
        <v>obj_002cb#0001</v>
      </c>
      <c r="P135" s="109" t="str">
        <f>_xll.qlZeroCouponBond(,,"EUR",3,"target",100,$B135,"f",100,,,Trigger)</f>
        <v>obj_002d4#0001</v>
      </c>
      <c r="Q135" s="109">
        <f t="shared" ca="1" si="142"/>
        <v>38.36</v>
      </c>
      <c r="R135" s="109">
        <f t="shared" ref="R135" ca="1" si="148">Q135</f>
        <v>38.36</v>
      </c>
      <c r="S135" s="33" t="str">
        <f>IF(UPPER(S$1)="ABCD",_xll.RtContribute($D$3,$D135,$Q$3:$R$3,$Q135:$R135,"SCOPE:SERVER"),"--")</f>
        <v>--</v>
      </c>
      <c r="T135" s="33" t="str">
        <f t="shared" si="144"/>
        <v>EUR.PRICING.XLS_STRIPS.IT0004288616</v>
      </c>
      <c r="U135" s="33" t="str">
        <f>IF(UPPER($V$1)="ABCD",MKV_PUBLISHRECORD(T135, "XLS_STRIPS"),"--")</f>
        <v>--</v>
      </c>
      <c r="V135" s="33" t="str">
        <f>IF(UPPER(V$1)="ABCD",MKV_SUPPLYRECORD(T135, "Bid",E135, "Ask",G135, "Id",A135, "Mid",F135, "Name",C135,"DV01",M135,"MidYield",I135,"BidYield",H135,"AskYield",J135),"--")</f>
        <v>--</v>
      </c>
    </row>
    <row r="136" spans="1:22" x14ac:dyDescent="0.2">
      <c r="A136" s="72" t="s">
        <v>264</v>
      </c>
      <c r="B136" s="89">
        <v>50649</v>
      </c>
      <c r="C136" s="47" t="s">
        <v>265</v>
      </c>
      <c r="D136" s="47" t="s">
        <v>266</v>
      </c>
      <c r="E136" s="109">
        <f ca="1"/>
        <v>38.119999999999997</v>
      </c>
      <c r="F136" s="109">
        <f ca="1"/>
        <v>38.491277145770979</v>
      </c>
      <c r="G136" s="109">
        <f t="shared" ca="1" si="141"/>
        <v>38.862554291541962</v>
      </c>
      <c r="H136" s="109">
        <f ca="1">_xll.qlBondYieldFromCleanPrice(N136,E136,YieldDayCounter,YieldCompounding,YieldFrequency)*100</f>
        <v>4.1243123538792146</v>
      </c>
      <c r="I136" s="109">
        <f ca="1">_xll.qlBondYieldFromCleanPrice(O136,F136,YieldDayCounter,YieldCompounding,YieldFrequency)*100</f>
        <v>4.0820282034575941</v>
      </c>
      <c r="J136" s="109">
        <f ca="1">_xll.qlBondYieldFromCleanPrice(P136,G136,YieldDayCounter,YieldCompounding,YieldFrequency)*100</f>
        <v>4.0401668992820099</v>
      </c>
      <c r="K136" s="109">
        <f ca="1">_xll.qlBondDurationFromYield(O136,I136,YieldDayCounter,YieldCompounding,YieldFrequency,K$2)</f>
        <v>4.6955689231308799</v>
      </c>
      <c r="L136" s="109">
        <f ca="1">_xll.qlBondConvexityFromYield(O136,I136/100,YieldDayCounter,YieldCompounding,YieldFrequency)</f>
        <v>547.68086371803611</v>
      </c>
      <c r="M136" s="109" t="e">
        <f t="shared" ca="1" si="145"/>
        <v>#NAME?</v>
      </c>
      <c r="N136" s="109" t="str">
        <f>_xll.qlZeroCouponBond(,,"EUR",3,"target",100,$B136,"f",100,,,Trigger)</f>
        <v>obj_0023e#0001</v>
      </c>
      <c r="O136" s="109" t="str">
        <f>_xll.qlZeroCouponBond(,,"EUR",3,"target",100,$B136,"f",100,,,Trigger)</f>
        <v>obj_00281#0001</v>
      </c>
      <c r="P136" s="109" t="str">
        <f>_xll.qlZeroCouponBond(,,"EUR",3,"target",100,$B136,"f",100,,,Trigger)</f>
        <v>obj_00287#0001</v>
      </c>
      <c r="Q136" s="109">
        <f t="shared" ca="1" si="142"/>
        <v>38.119999999999997</v>
      </c>
      <c r="R136" s="109">
        <f t="shared" ref="R136" ca="1" si="149">Q136</f>
        <v>38.119999999999997</v>
      </c>
      <c r="S136" s="33" t="str">
        <f>IF(UPPER(S$1)="ABCD",_xll.RtContribute($D$3,$D136,$Q$3:$R$3,$Q136:$R136,"SCOPE:SERVER"),"--")</f>
        <v>--</v>
      </c>
      <c r="T136" s="33" t="str">
        <f t="shared" si="144"/>
        <v>EUR.PRICING.XLS_STRIPS.IT0004976723</v>
      </c>
      <c r="U136" s="33" t="str">
        <f>IF(UPPER($V$1)="ABCD",MKV_PUBLISHRECORD(T136, "XLS_STRIPS"),"--")</f>
        <v>--</v>
      </c>
      <c r="V136" s="33" t="str">
        <f>IF(UPPER(V$1)="ABCD",MKV_SUPPLYRECORD(T136, "Bid",E136, "Ask",G136, "Id",A136, "Mid",F136, "Name",C136,"DV01",M136,"MidYield",I136,"BidYield",H136,"AskYield",J136),"--")</f>
        <v>--</v>
      </c>
    </row>
    <row r="137" spans="1:22" x14ac:dyDescent="0.2">
      <c r="A137" s="72" t="s">
        <v>93</v>
      </c>
      <c r="B137" s="89">
        <v>50802</v>
      </c>
      <c r="C137" s="47" t="s">
        <v>495</v>
      </c>
      <c r="D137" s="47" t="s">
        <v>496</v>
      </c>
      <c r="E137" s="109">
        <f ca="1"/>
        <v>36.94</v>
      </c>
      <c r="F137" s="109">
        <f ca="1"/>
        <v>37.302717115931465</v>
      </c>
      <c r="G137" s="109">
        <f t="shared" ca="1" si="141"/>
        <v>37.665434231862932</v>
      </c>
      <c r="H137" s="109">
        <f ca="1">_xll.qlBondYieldFromCleanPrice(N137,E137,YieldDayCounter,YieldCompounding,YieldFrequency)*100</f>
        <v>4.1865206826552814</v>
      </c>
      <c r="I137" s="109">
        <f ca="1">_xll.qlBondYieldFromCleanPrice(O137,F137,YieldDayCounter,YieldCompounding,YieldFrequency)*100</f>
        <v>4.1446043007075799</v>
      </c>
      <c r="J137" s="109">
        <f ca="1">_xll.qlBondYieldFromCleanPrice(P137,G137,YieldDayCounter,YieldCompounding,YieldFrequency)*100</f>
        <v>4.1031101398169998</v>
      </c>
      <c r="K137" s="109">
        <f ca="1">_xll.qlBondDurationFromYield(O137,I137,YieldDayCounter,YieldCompounding,YieldFrequency,K$2)</f>
        <v>4.7199338105521909</v>
      </c>
      <c r="L137" s="109">
        <f ca="1">_xll.qlBondConvexityFromYield(O137,I137/100,YieldDayCounter,YieldCompounding,YieldFrequency)</f>
        <v>566.01645607500279</v>
      </c>
      <c r="M137" s="109" t="e">
        <f t="shared" ca="1" si="145"/>
        <v>#NAME?</v>
      </c>
      <c r="N137" s="109" t="str">
        <f>_xll.qlZeroCouponBond(,,"EUR",3,"target",100,$B137,"f",100,,,Trigger)</f>
        <v>obj_0036c#0001</v>
      </c>
      <c r="O137" s="109" t="str">
        <f>_xll.qlZeroCouponBond(,,"EUR",3,"target",100,$B137,"f",100,,,Trigger)</f>
        <v>obj_0032e#0001</v>
      </c>
      <c r="P137" s="109" t="str">
        <f>_xll.qlZeroCouponBond(,,"EUR",3,"target",100,$B137,"f",100,,,Trigger)</f>
        <v>obj_00341#0001</v>
      </c>
      <c r="Q137" s="109">
        <f t="shared" ca="1" si="142"/>
        <v>36.94</v>
      </c>
      <c r="R137" s="109">
        <f t="shared" ref="R137" ca="1" si="150">Q137</f>
        <v>36.94</v>
      </c>
      <c r="S137" s="33" t="str">
        <f>IF(UPPER(S$1)="ABCD",_xll.RtContribute($D$3,$D137,$Q$3:$R$3,$Q137:$R137,"SCOPE:SERVER"),"--")</f>
        <v>--</v>
      </c>
      <c r="T137" s="33" t="str">
        <f t="shared" si="144"/>
        <v>EUR.PRICING.XLS_STRIPS.IT0004288624</v>
      </c>
      <c r="U137" s="33" t="str">
        <f>IF(UPPER($V$1)="ABCD",MKV_PUBLISHRECORD(T137, "XLS_STRIPS"),"--")</f>
        <v>--</v>
      </c>
      <c r="V137" s="33" t="str">
        <f>IF(UPPER(V$1)="ABCD",MKV_SUPPLYRECORD(T137, "Bid",E137, "Ask",G137, "Id",A137, "Mid",F137, "Name",C137,"DV01",M137,"MidYield",I137,"BidYield",H137,"AskYield",J137),"--")</f>
        <v>--</v>
      </c>
    </row>
    <row r="138" spans="1:22" x14ac:dyDescent="0.2">
      <c r="A138" s="72" t="s">
        <v>267</v>
      </c>
      <c r="B138" s="89">
        <v>50830</v>
      </c>
      <c r="C138" s="47" t="s">
        <v>268</v>
      </c>
      <c r="D138" s="47" t="s">
        <v>269</v>
      </c>
      <c r="E138" s="109">
        <f ca="1"/>
        <v>36.729999999999997</v>
      </c>
      <c r="F138" s="109">
        <f ca="1"/>
        <v>37.089972560658559</v>
      </c>
      <c r="G138" s="109">
        <f t="shared" ca="1" si="141"/>
        <v>37.449945121317121</v>
      </c>
      <c r="H138" s="109">
        <f ca="1">_xll.qlBondYieldFromCleanPrice(N138,E138,YieldDayCounter,YieldCompounding,YieldFrequency)*100</f>
        <v>4.1974491272680634</v>
      </c>
      <c r="I138" s="109">
        <f ca="1">_xll.qlBondYieldFromCleanPrice(O138,F138,YieldDayCounter,YieldCompounding,YieldFrequency)*100</f>
        <v>4.1557390216487367</v>
      </c>
      <c r="J138" s="109">
        <f ca="1">_xll.qlBondYieldFromCleanPrice(P138,G138,YieldDayCounter,YieldCompounding,YieldFrequency)*100</f>
        <v>4.1144482262432582</v>
      </c>
      <c r="K138" s="109">
        <f ca="1">_xll.qlBondDurationFromYield(O138,I138,YieldDayCounter,YieldCompounding,YieldFrequency,K$2)</f>
        <v>4.7246193042950777</v>
      </c>
      <c r="L138" s="109">
        <f ca="1">_xll.qlBondConvexityFromYield(O138,I138/100,YieldDayCounter,YieldCompounding,YieldFrequency)</f>
        <v>569.40570982120835</v>
      </c>
      <c r="M138" s="109" t="e">
        <f t="shared" ca="1" si="145"/>
        <v>#NAME?</v>
      </c>
      <c r="N138" s="109" t="str">
        <f>_xll.qlZeroCouponBond(,,"EUR",3,"target",100,$B138,"f",100,,,Trigger)</f>
        <v>obj_00259#0001</v>
      </c>
      <c r="O138" s="109" t="str">
        <f>_xll.qlZeroCouponBond(,,"EUR",3,"target",100,$B138,"f",100,,,Trigger)</f>
        <v>obj_0037b#0001</v>
      </c>
      <c r="P138" s="109" t="str">
        <f>_xll.qlZeroCouponBond(,,"EUR",3,"target",100,$B138,"f",100,,,Trigger)</f>
        <v>obj_00370#0001</v>
      </c>
      <c r="Q138" s="109">
        <f t="shared" ca="1" si="142"/>
        <v>36.729999999999997</v>
      </c>
      <c r="R138" s="109">
        <f t="shared" ref="R138" ca="1" si="151">Q138</f>
        <v>36.729999999999997</v>
      </c>
      <c r="S138" s="33" t="str">
        <f>IF(UPPER(S$1)="ABCD",_xll.RtContribute($D$3,$D138,$Q$3:$R$3,$Q138:$R138,"SCOPE:SERVER"),"--")</f>
        <v>--</v>
      </c>
      <c r="T138" s="33" t="str">
        <f t="shared" si="144"/>
        <v>EUR.PRICING.XLS_STRIPS.IT0004976731</v>
      </c>
      <c r="U138" s="33" t="str">
        <f>IF(UPPER($V$1)="ABCD",MKV_PUBLISHRECORD(T138, "XLS_STRIPS"),"--")</f>
        <v>--</v>
      </c>
      <c r="V138" s="33" t="str">
        <f>IF(UPPER(V$1)="ABCD",MKV_SUPPLYRECORD(T138, "Bid",E138, "Ask",G138, "Id",A138, "Mid",F138, "Name",C138,"DV01",M138,"MidYield",I138,"BidYield",H138,"AskYield",J138),"--")</f>
        <v>--</v>
      </c>
    </row>
    <row r="139" spans="1:22" x14ac:dyDescent="0.2">
      <c r="A139" s="72" t="s">
        <v>497</v>
      </c>
      <c r="B139" s="89">
        <v>50983</v>
      </c>
      <c r="C139" s="47" t="s">
        <v>498</v>
      </c>
      <c r="D139" s="47" t="s">
        <v>499</v>
      </c>
      <c r="E139" s="109">
        <f ca="1"/>
        <v>35.61</v>
      </c>
      <c r="F139" s="109">
        <f ca="1"/>
        <v>35.966988931601016</v>
      </c>
      <c r="G139" s="109">
        <f t="shared" ca="1" si="141"/>
        <v>36.323977863202032</v>
      </c>
      <c r="H139" s="109">
        <f ca="1">_xll.qlBondYieldFromCleanPrice(N139,E139,YieldDayCounter,YieldCompounding,YieldFrequency)*100</f>
        <v>4.2552105642855178</v>
      </c>
      <c r="I139" s="109">
        <f ca="1">_xll.qlBondYieldFromCleanPrice(O139,F139,YieldDayCounter,YieldCompounding,YieldFrequency)*100</f>
        <v>4.2132484188873356</v>
      </c>
      <c r="J139" s="109">
        <f ca="1">_xll.qlBondYieldFromCleanPrice(P139,G139,YieldDayCounter,YieldCompounding,YieldFrequency)*100</f>
        <v>4.1717173669806487</v>
      </c>
      <c r="K139" s="109">
        <f ca="1">_xll.qlBondDurationFromYield(O139,I139,YieldDayCounter,YieldCompounding,YieldFrequency,K$2)</f>
        <v>4.752906479961915</v>
      </c>
      <c r="L139" s="109">
        <f ca="1">_xll.qlBondConvexityFromYield(O139,I139/100,YieldDayCounter,YieldCompounding,YieldFrequency)</f>
        <v>588.12877232319795</v>
      </c>
      <c r="M139" s="109" t="e">
        <f t="shared" ca="1" si="145"/>
        <v>#NAME?</v>
      </c>
      <c r="N139" s="109" t="str">
        <f>_xll.qlZeroCouponBond(,,"EUR",3,"target",100,$B139,"f",100,,,Trigger)</f>
        <v>obj_003c6#0001</v>
      </c>
      <c r="O139" s="109" t="str">
        <f>_xll.qlZeroCouponBond(,,"EUR",3,"target",100,$B139,"f",100,,,Trigger)</f>
        <v>obj_00319#0001</v>
      </c>
      <c r="P139" s="109" t="str">
        <f>_xll.qlZeroCouponBond(,,"EUR",3,"target",100,$B139,"f",100,,,Trigger)</f>
        <v>obj_00241#0001</v>
      </c>
      <c r="Q139" s="109">
        <f t="shared" ca="1" si="142"/>
        <v>35.61</v>
      </c>
      <c r="R139" s="109">
        <f t="shared" ref="R139" ca="1" si="152">Q139</f>
        <v>35.61</v>
      </c>
      <c r="S139" s="33" t="str">
        <f>IF(UPPER(S$1)="ABCD",_xll.RtContribute($D$3,$D139,$Q$3:$R$3,$Q139:$R139,"SCOPE:SERVER"),"--")</f>
        <v>--</v>
      </c>
      <c r="T139" s="33" t="str">
        <f t="shared" si="144"/>
        <v>EUR.PRICING.XLS_STRIPS.IT0004848690</v>
      </c>
      <c r="U139" s="33" t="str">
        <f>IF(UPPER($V$1)="ABCD",MKV_PUBLISHRECORD(T139, "XLS_STRIPS"),"--")</f>
        <v>--</v>
      </c>
      <c r="V139" s="33" t="str">
        <f>IF(UPPER(V$1)="ABCD",MKV_SUPPLYRECORD(T139, "Bid",E139, "Ask",G139, "Id",A139, "Mid",F139, "Name",C139,"DV01",M139,"MidYield",I139,"BidYield",H139,"AskYield",J139),"--")</f>
        <v>--</v>
      </c>
    </row>
    <row r="140" spans="1:22" x14ac:dyDescent="0.2">
      <c r="A140" s="72" t="s">
        <v>270</v>
      </c>
      <c r="B140" s="89">
        <v>51014</v>
      </c>
      <c r="C140" s="47" t="s">
        <v>271</v>
      </c>
      <c r="D140" s="47" t="s">
        <v>272</v>
      </c>
      <c r="E140" s="109">
        <f ca="1"/>
        <v>35.39</v>
      </c>
      <c r="F140" s="109">
        <f ca="1"/>
        <v>35.749146662035187</v>
      </c>
      <c r="G140" s="109">
        <f t="shared" ca="1" si="141"/>
        <v>36.108293324070374</v>
      </c>
      <c r="H140" s="109">
        <f ca="1">_xll.qlBondYieldFromCleanPrice(N140,E140,YieldDayCounter,YieldCompounding,YieldFrequency)*100</f>
        <v>4.2663565047085292</v>
      </c>
      <c r="I140" s="109">
        <f ca="1">_xll.qlBondYieldFromCleanPrice(O140,F140,YieldDayCounter,YieldCompounding,YieldFrequency)*100</f>
        <v>4.2240215428173551</v>
      </c>
      <c r="J140" s="109">
        <f ca="1">_xll.qlBondYieldFromCleanPrice(P140,G140,YieldDayCounter,YieldCompounding,YieldFrequency)*100</f>
        <v>4.1821267209947113</v>
      </c>
      <c r="K140" s="109">
        <f ca="1">_xll.qlBondDurationFromYield(O140,I140,YieldDayCounter,YieldCompounding,YieldFrequency,K$2)</f>
        <v>4.7593627811154322</v>
      </c>
      <c r="L140" s="109">
        <f ca="1">_xll.qlBondConvexityFromYield(O140,I140/100,YieldDayCounter,YieldCompounding,YieldFrequency)</f>
        <v>591.96665749662577</v>
      </c>
      <c r="M140" s="109" t="e">
        <f t="shared" ca="1" si="145"/>
        <v>#NAME?</v>
      </c>
      <c r="N140" s="109" t="str">
        <f>_xll.qlZeroCouponBond(,,"EUR",3,"target",100,$B140,"f",100,,,Trigger)</f>
        <v>obj_003bb#0001</v>
      </c>
      <c r="O140" s="109" t="str">
        <f>_xll.qlZeroCouponBond(,,"EUR",3,"target",100,$B140,"f",100,,,Trigger)</f>
        <v>obj_002d8#0001</v>
      </c>
      <c r="P140" s="109" t="str">
        <f>_xll.qlZeroCouponBond(,,"EUR",3,"target",100,$B140,"f",100,,,Trigger)</f>
        <v>obj_00238#0001</v>
      </c>
      <c r="Q140" s="109">
        <f t="shared" ca="1" si="142"/>
        <v>35.39</v>
      </c>
      <c r="R140" s="109">
        <f t="shared" ref="R140" ca="1" si="153">Q140</f>
        <v>35.39</v>
      </c>
      <c r="S140" s="33" t="str">
        <f>IF(UPPER(S$1)="ABCD",_xll.RtContribute($D$3,$D140,$Q$3:$R$3,$Q140:$R140,"SCOPE:SERVER"),"--")</f>
        <v>--</v>
      </c>
      <c r="T140" s="33" t="str">
        <f t="shared" si="144"/>
        <v>EUR.PRICING.XLS_STRIPS.IT0004976749</v>
      </c>
      <c r="U140" s="33" t="str">
        <f>IF(UPPER($V$1)="ABCD",MKV_PUBLISHRECORD(T140, "XLS_STRIPS"),"--")</f>
        <v>--</v>
      </c>
      <c r="V140" s="33" t="str">
        <f>IF(UPPER(V$1)="ABCD",MKV_SUPPLYRECORD(T140, "Bid",E140, "Ask",G140, "Id",A140, "Mid",F140, "Name",C140,"DV01",M140,"MidYield",I140,"BidYield",H140,"AskYield",J140),"--")</f>
        <v>--</v>
      </c>
    </row>
    <row r="141" spans="1:22" x14ac:dyDescent="0.2">
      <c r="A141" s="72" t="s">
        <v>273</v>
      </c>
      <c r="B141" s="89">
        <v>51196</v>
      </c>
      <c r="C141" s="47" t="s">
        <v>274</v>
      </c>
      <c r="D141" s="47" t="s">
        <v>275</v>
      </c>
      <c r="E141" s="109">
        <f ca="1"/>
        <v>34.18</v>
      </c>
      <c r="F141" s="109">
        <f ca="1"/>
        <v>34.531308666395383</v>
      </c>
      <c r="G141" s="109">
        <f t="shared" ca="1" si="141"/>
        <v>34.882617332790765</v>
      </c>
      <c r="H141" s="109">
        <f ca="1">_xll.qlBondYieldFromCleanPrice(N141,E141,YieldDayCounter,YieldCompounding,YieldFrequency)*100</f>
        <v>4.3242273818012507</v>
      </c>
      <c r="I141" s="109">
        <f ca="1">_xll.qlBondYieldFromCleanPrice(O141,F141,YieldDayCounter,YieldCompounding,YieldFrequency)*100</f>
        <v>4.2821681235643085</v>
      </c>
      <c r="J141" s="109">
        <f ca="1">_xll.qlBondYieldFromCleanPrice(P141,G141,YieldDayCounter,YieldCompounding,YieldFrequency)*100</f>
        <v>4.2405513063728844</v>
      </c>
      <c r="K141" s="109">
        <f ca="1">_xll.qlBondDurationFromYield(O141,I141,YieldDayCounter,YieldCompounding,YieldFrequency,K$2)</f>
        <v>4.800851377005646</v>
      </c>
      <c r="L141" s="109">
        <f ca="1">_xll.qlBondConvexityFromYield(O141,I141/100,YieldDayCounter,YieldCompounding,YieldFrequency)</f>
        <v>614.66392905118335</v>
      </c>
      <c r="M141" s="109" t="e">
        <f t="shared" ca="1" si="145"/>
        <v>#NAME?</v>
      </c>
      <c r="N141" s="109" t="str">
        <f>_xll.qlZeroCouponBond(,,"EUR",3,"target",100,$B141,"f",100,,,Trigger)</f>
        <v>obj_002b4#0001</v>
      </c>
      <c r="O141" s="109" t="str">
        <f>_xll.qlZeroCouponBond(,,"EUR",3,"target",100,$B141,"f",100,,,Trigger)</f>
        <v>obj_002a0#0001</v>
      </c>
      <c r="P141" s="109" t="str">
        <f>_xll.qlZeroCouponBond(,,"EUR",3,"target",100,$B141,"f",100,,,Trigger)</f>
        <v>obj_003d4#0001</v>
      </c>
      <c r="Q141" s="109">
        <f t="shared" ca="1" si="142"/>
        <v>34.18</v>
      </c>
      <c r="R141" s="109">
        <f t="shared" ref="R141" ca="1" si="154">Q141</f>
        <v>34.18</v>
      </c>
      <c r="S141" s="33" t="str">
        <f>IF(UPPER(S$1)="ABCD",_xll.RtContribute($D$3,$D141,$Q$3:$R$3,$Q141:$R141,"SCOPE:SERVER"),"--")</f>
        <v>--</v>
      </c>
      <c r="T141" s="33" t="str">
        <f t="shared" si="144"/>
        <v>EUR.PRICING.XLS_STRIPS.IT0004976756</v>
      </c>
      <c r="U141" s="33" t="str">
        <f>IF(UPPER($V$1)="ABCD",MKV_PUBLISHRECORD(T141, "XLS_STRIPS"),"--")</f>
        <v>--</v>
      </c>
      <c r="V141" s="33" t="str">
        <f>IF(UPPER(V$1)="ABCD",MKV_SUPPLYRECORD(T141, "Bid",E141, "Ask",G141, "Id",A141, "Mid",F141, "Name",C141,"DV01",M141,"MidYield",I141,"BidYield",H141,"AskYield",J141),"--")</f>
        <v>--</v>
      </c>
    </row>
    <row r="142" spans="1:22" x14ac:dyDescent="0.2">
      <c r="A142" s="72" t="s">
        <v>276</v>
      </c>
      <c r="B142" s="89">
        <v>51380</v>
      </c>
      <c r="C142" s="47" t="s">
        <v>277</v>
      </c>
      <c r="D142" s="47" t="s">
        <v>278</v>
      </c>
      <c r="E142" s="109">
        <f ca="1"/>
        <v>33.03</v>
      </c>
      <c r="F142" s="109">
        <f ca="1"/>
        <v>33.376302362731536</v>
      </c>
      <c r="G142" s="109">
        <f t="shared" ca="1" si="141"/>
        <v>33.722604725463071</v>
      </c>
      <c r="H142" s="109">
        <f ca="1">_xll.qlBondYieldFromCleanPrice(N142,E142,YieldDayCounter,YieldCompounding,YieldFrequency)*100</f>
        <v>4.375262845476942</v>
      </c>
      <c r="I142" s="109">
        <f ca="1">_xll.qlBondYieldFromCleanPrice(O142,F142,YieldDayCounter,YieldCompounding,YieldFrequency)*100</f>
        <v>4.3331883390864538</v>
      </c>
      <c r="J142" s="109">
        <f ca="1">_xll.qlBondYieldFromCleanPrice(P142,G142,YieldDayCounter,YieldCompounding,YieldFrequency)*100</f>
        <v>4.2915648388488226</v>
      </c>
      <c r="K142" s="109">
        <f ca="1">_xll.qlBondDurationFromYield(O142,I142,YieldDayCounter,YieldCompounding,YieldFrequency,K$2)</f>
        <v>4.8504743327920927</v>
      </c>
      <c r="L142" s="109">
        <f ca="1">_xll.qlBondConvexityFromYield(O142,I142/100,YieldDayCounter,YieldCompounding,YieldFrequency)</f>
        <v>638.51261786632585</v>
      </c>
      <c r="M142" s="109" t="e">
        <f t="shared" ca="1" si="145"/>
        <v>#NAME?</v>
      </c>
      <c r="N142" s="109" t="str">
        <f>_xll.qlZeroCouponBond(,,"EUR",3,"target",100,$B142,"f",100,,,Trigger)</f>
        <v>obj_00347#0001</v>
      </c>
      <c r="O142" s="109" t="str">
        <f>_xll.qlZeroCouponBond(,,"EUR",3,"target",100,$B142,"f",100,,,Trigger)</f>
        <v>obj_00395#0001</v>
      </c>
      <c r="P142" s="109" t="str">
        <f>_xll.qlZeroCouponBond(,,"EUR",3,"target",100,$B142,"f",100,,,Trigger)</f>
        <v>obj_00333#0001</v>
      </c>
      <c r="Q142" s="109">
        <f t="shared" ca="1" si="142"/>
        <v>33.03</v>
      </c>
      <c r="R142" s="109">
        <f t="shared" ref="R142" ca="1" si="155">Q142</f>
        <v>33.03</v>
      </c>
      <c r="S142" s="33" t="str">
        <f>IF(UPPER(S$1)="ABCD",_xll.RtContribute($D$3,$D142,$Q$3:$R$3,$Q142:$R142,"SCOPE:SERVER"),"--")</f>
        <v>--</v>
      </c>
      <c r="T142" s="33" t="str">
        <f t="shared" si="144"/>
        <v>EUR.PRICING.XLS_STRIPS.IT0004976764</v>
      </c>
      <c r="U142" s="33" t="str">
        <f>IF(UPPER($V$1)="ABCD",MKV_PUBLISHRECORD(T142, "XLS_STRIPS"),"--")</f>
        <v>--</v>
      </c>
      <c r="V142" s="33" t="str">
        <f>IF(UPPER(V$1)="ABCD",MKV_SUPPLYRECORD(T142, "Bid",E142, "Ask",G142, "Id",A142, "Mid",F142, "Name",C142,"DV01",M142,"MidYield",I142,"BidYield",H142,"AskYield",J142),"--")</f>
        <v>--</v>
      </c>
    </row>
    <row r="143" spans="1:22" x14ac:dyDescent="0.2">
      <c r="A143" s="72" t="s">
        <v>279</v>
      </c>
      <c r="B143" s="89">
        <v>51561</v>
      </c>
      <c r="C143" s="47" t="s">
        <v>280</v>
      </c>
      <c r="D143" s="47" t="s">
        <v>281</v>
      </c>
      <c r="E143" s="109">
        <f ca="1"/>
        <v>31.94</v>
      </c>
      <c r="F143" s="109">
        <f ca="1"/>
        <v>32.283397215809821</v>
      </c>
      <c r="G143" s="109">
        <f t="shared" ca="1" si="141"/>
        <v>32.626794431619643</v>
      </c>
      <c r="H143" s="109">
        <f ca="1">_xll.qlBondYieldFromCleanPrice(N143,E143,YieldDayCounter,YieldCompounding,YieldFrequency)*100</f>
        <v>4.4249954335391539</v>
      </c>
      <c r="I143" s="109">
        <f ca="1">_xll.qlBondYieldFromCleanPrice(O143,F143,YieldDayCounter,YieldCompounding,YieldFrequency)*100</f>
        <v>4.3826382994613402</v>
      </c>
      <c r="J143" s="109">
        <f ca="1">_xll.qlBondYieldFromCleanPrice(P143,G143,YieldDayCounter,YieldCompounding,YieldFrequency)*100</f>
        <v>4.340746232640436</v>
      </c>
      <c r="K143" s="109">
        <f ca="1">_xll.qlBondDurationFromYield(O143,I143,YieldDayCounter,YieldCompounding,YieldFrequency,K$2)</f>
        <v>4.897023103377923</v>
      </c>
      <c r="L143" s="109">
        <f ca="1">_xll.qlBondConvexityFromYield(O143,I143/100,YieldDayCounter,YieldCompounding,YieldFrequency)</f>
        <v>661.8651409595825</v>
      </c>
      <c r="M143" s="109" t="e">
        <f t="shared" ca="1" si="145"/>
        <v>#NAME?</v>
      </c>
      <c r="N143" s="109" t="str">
        <f>_xll.qlZeroCouponBond(,,"EUR",3,"target",100,$B143,"f",100,,,Trigger)</f>
        <v>obj_0036b#0001</v>
      </c>
      <c r="O143" s="109" t="str">
        <f>_xll.qlZeroCouponBond(,,"EUR",3,"target",100,$B143,"f",100,,,Trigger)</f>
        <v>obj_002f8#0001</v>
      </c>
      <c r="P143" s="109" t="str">
        <f>_xll.qlZeroCouponBond(,,"EUR",3,"target",100,$B143,"f",100,,,Trigger)</f>
        <v>obj_002cf#0001</v>
      </c>
      <c r="Q143" s="109">
        <f t="shared" ca="1" si="142"/>
        <v>31.94</v>
      </c>
      <c r="R143" s="109">
        <f t="shared" ref="R143" ca="1" si="156">Q143</f>
        <v>31.94</v>
      </c>
      <c r="S143" s="33" t="str">
        <f>IF(UPPER(S$1)="ABCD",_xll.RtContribute($D$3,$D143,$Q$3:$R$3,$Q143:$R143,"SCOPE:SERVER"),"--")</f>
        <v>--</v>
      </c>
      <c r="T143" s="33" t="str">
        <f t="shared" si="144"/>
        <v>EUR.PRICING.XLS_STRIPS.IT0004976772</v>
      </c>
      <c r="U143" s="33" t="str">
        <f>IF(UPPER($V$1)="ABCD",MKV_PUBLISHRECORD(T143, "XLS_STRIPS"),"--")</f>
        <v>--</v>
      </c>
      <c r="V143" s="33" t="str">
        <f>IF(UPPER(V$1)="ABCD",MKV_SUPPLYRECORD(T143, "Bid",E143, "Ask",G143, "Id",A143, "Mid",F143, "Name",C143,"DV01",M143,"MidYield",I143,"BidYield",H143,"AskYield",J143),"--")</f>
        <v>--</v>
      </c>
    </row>
    <row r="144" spans="1:22" x14ac:dyDescent="0.2">
      <c r="A144" s="72" t="s">
        <v>282</v>
      </c>
      <c r="B144" s="89">
        <v>51745</v>
      </c>
      <c r="C144" s="47" t="s">
        <v>283</v>
      </c>
      <c r="D144" s="47" t="s">
        <v>284</v>
      </c>
      <c r="E144" s="109">
        <f ca="1"/>
        <v>30.87</v>
      </c>
      <c r="F144" s="109">
        <f ca="1"/>
        <v>31.209052703887362</v>
      </c>
      <c r="G144" s="109">
        <f t="shared" ca="1" si="141"/>
        <v>31.548105407774724</v>
      </c>
      <c r="H144" s="109">
        <f ca="1">_xll.qlBondYieldFromCleanPrice(N144,E144,YieldDayCounter,YieldCompounding,YieldFrequency)*100</f>
        <v>4.4721477799108236</v>
      </c>
      <c r="I144" s="109">
        <f ca="1">_xll.qlBondYieldFromCleanPrice(O144,F144,YieldDayCounter,YieldCompounding,YieldFrequency)*100</f>
        <v>4.4296789984704574</v>
      </c>
      <c r="J144" s="109">
        <f ca="1">_xll.qlBondYieldFromCleanPrice(P144,G144,YieldDayCounter,YieldCompounding,YieldFrequency)*100</f>
        <v>4.3876861183591682</v>
      </c>
      <c r="K144" s="109">
        <f ca="1">_xll.qlBondDurationFromYield(O144,I144,YieldDayCounter,YieldCompounding,YieldFrequency,K$2)</f>
        <v>4.9479450686174316</v>
      </c>
      <c r="L144" s="109">
        <f ca="1">_xll.qlBondConvexityFromYield(O144,I144/100,YieldDayCounter,YieldCompounding,YieldFrequency)</f>
        <v>686.47057803306075</v>
      </c>
      <c r="M144" s="109" t="e">
        <f t="shared" ca="1" si="145"/>
        <v>#NAME?</v>
      </c>
      <c r="N144" s="109" t="str">
        <f>_xll.qlZeroCouponBond(,,"EUR",3,"target",100,$B144,"f",100,,,Trigger)</f>
        <v>obj_003d2#0001</v>
      </c>
      <c r="O144" s="109" t="str">
        <f>_xll.qlZeroCouponBond(,,"EUR",3,"target",100,$B144,"f",100,,,Trigger)</f>
        <v>obj_00235#0001</v>
      </c>
      <c r="P144" s="109" t="str">
        <f>_xll.qlZeroCouponBond(,,"EUR",3,"target",100,$B144,"f",100,,,Trigger)</f>
        <v>obj_002f0#0001</v>
      </c>
      <c r="Q144" s="109">
        <f t="shared" ca="1" si="142"/>
        <v>30.87</v>
      </c>
      <c r="R144" s="109">
        <f t="shared" ref="R144" ca="1" si="157">Q144</f>
        <v>30.87</v>
      </c>
      <c r="S144" s="33" t="str">
        <f>IF(UPPER(S$1)="ABCD",_xll.RtContribute($D$3,$D144,$Q$3:$R$3,$Q144:$R144,"SCOPE:SERVER"),"--")</f>
        <v>--</v>
      </c>
      <c r="T144" s="33" t="str">
        <f t="shared" si="144"/>
        <v>EUR.PRICING.XLS_STRIPS.IT0004976780</v>
      </c>
      <c r="U144" s="33" t="str">
        <f>IF(UPPER($V$1)="ABCD",MKV_PUBLISHRECORD(T144, "XLS_STRIPS"),"--")</f>
        <v>--</v>
      </c>
      <c r="V144" s="33" t="str">
        <f>IF(UPPER(V$1)="ABCD",MKV_SUPPLYRECORD(T144, "Bid",E144, "Ask",G144, "Id",A144, "Mid",F144, "Name",C144,"DV01",M144,"MidYield",I144,"BidYield",H144,"AskYield",J144),"--")</f>
        <v>--</v>
      </c>
    </row>
    <row r="145" spans="1:22" x14ac:dyDescent="0.2">
      <c r="A145" s="72" t="s">
        <v>285</v>
      </c>
      <c r="B145" s="89">
        <v>51926</v>
      </c>
      <c r="C145" s="47" t="s">
        <v>286</v>
      </c>
      <c r="D145" s="47" t="s">
        <v>287</v>
      </c>
      <c r="E145" s="109">
        <f ca="1"/>
        <v>29.85</v>
      </c>
      <c r="F145" s="109">
        <f ca="1"/>
        <v>30.187114031944613</v>
      </c>
      <c r="G145" s="109">
        <f t="shared" ca="1" si="141"/>
        <v>30.524228063889225</v>
      </c>
      <c r="H145" s="109">
        <f ca="1">_xll.qlBondYieldFromCleanPrice(N145,E145,YieldDayCounter,YieldCompounding,YieldFrequency)*100</f>
        <v>4.517149534886804</v>
      </c>
      <c r="I145" s="109">
        <f ca="1">_xll.qlBondYieldFromCleanPrice(O145,F145,YieldDayCounter,YieldCompounding,YieldFrequency)*100</f>
        <v>4.4742646403610697</v>
      </c>
      <c r="J145" s="109">
        <f ca="1">_xll.qlBondYieldFromCleanPrice(P145,G145,YieldDayCounter,YieldCompounding,YieldFrequency)*100</f>
        <v>4.4318733119516809</v>
      </c>
      <c r="K145" s="109">
        <f ca="1">_xll.qlBondDurationFromYield(O145,I145,YieldDayCounter,YieldCompounding,YieldFrequency,K$2)</f>
        <v>4.9987323155496819</v>
      </c>
      <c r="L145" s="109">
        <f ca="1">_xll.qlBondConvexityFromYield(O145,I145/100,YieldDayCounter,YieldCompounding,YieldFrequency)</f>
        <v>711.1158731419639</v>
      </c>
      <c r="M145" s="109" t="e">
        <f t="shared" ca="1" si="145"/>
        <v>#NAME?</v>
      </c>
      <c r="N145" s="109" t="str">
        <f>_xll.qlZeroCouponBond(,,"EUR",3,"target",100,$B145,"f",100,,,Trigger)</f>
        <v>obj_00313#0001</v>
      </c>
      <c r="O145" s="109" t="str">
        <f>_xll.qlZeroCouponBond(,,"EUR",3,"target",100,$B145,"f",100,,,Trigger)</f>
        <v>obj_00390#0001</v>
      </c>
      <c r="P145" s="109" t="str">
        <f>_xll.qlZeroCouponBond(,,"EUR",3,"target",100,$B145,"f",100,,,Trigger)</f>
        <v>obj_00275#0001</v>
      </c>
      <c r="Q145" s="109">
        <f t="shared" ca="1" si="142"/>
        <v>29.85</v>
      </c>
      <c r="R145" s="109">
        <f t="shared" ref="R145" ca="1" si="158">Q145</f>
        <v>29.85</v>
      </c>
      <c r="S145" s="33" t="str">
        <f>IF(UPPER(S$1)="ABCD",_xll.RtContribute($D$3,$D145,$Q$3:$R$3,$Q145:$R145,"SCOPE:SERVER"),"--")</f>
        <v>--</v>
      </c>
      <c r="T145" s="33" t="str">
        <f t="shared" si="144"/>
        <v>EUR.PRICING.XLS_STRIPS.IT0004976798</v>
      </c>
      <c r="U145" s="33" t="str">
        <f>IF(UPPER($V$1)="ABCD",MKV_PUBLISHRECORD(T145, "XLS_STRIPS"),"--")</f>
        <v>--</v>
      </c>
      <c r="V145" s="33" t="str">
        <f>IF(UPPER(V$1)="ABCD",MKV_SUPPLYRECORD(T145, "Bid",E145, "Ask",G145, "Id",A145, "Mid",F145, "Name",C145,"DV01",M145,"MidYield",I145,"BidYield",H145,"AskYield",J145),"--")</f>
        <v>--</v>
      </c>
    </row>
    <row r="146" spans="1:22" x14ac:dyDescent="0.2">
      <c r="A146" s="72" t="s">
        <v>288</v>
      </c>
      <c r="B146" s="89">
        <v>52110</v>
      </c>
      <c r="C146" s="47" t="s">
        <v>289</v>
      </c>
      <c r="D146" s="47" t="s">
        <v>290</v>
      </c>
      <c r="E146" s="109">
        <f ca="1"/>
        <v>28.85</v>
      </c>
      <c r="F146" s="109">
        <f ca="1"/>
        <v>29.182530775907523</v>
      </c>
      <c r="G146" s="109">
        <f t="shared" ca="1" si="141"/>
        <v>29.515061551815045</v>
      </c>
      <c r="H146" s="109">
        <f ca="1">_xll.qlBondYieldFromCleanPrice(N146,E146,YieldDayCounter,YieldCompounding,YieldFrequency)*100</f>
        <v>4.5623409293481316</v>
      </c>
      <c r="I146" s="109">
        <f ca="1">_xll.qlBondYieldFromCleanPrice(O146,F146,YieldDayCounter,YieldCompounding,YieldFrequency)*100</f>
        <v>4.519342463351947</v>
      </c>
      <c r="J146" s="109">
        <f ca="1">_xll.qlBondYieldFromCleanPrice(P146,G146,YieldDayCounter,YieldCompounding,YieldFrequency)*100</f>
        <v>4.4768485729521563</v>
      </c>
      <c r="K146" s="109">
        <f ca="1">_xll.qlBondDurationFromYield(O146,I146,YieldDayCounter,YieldCompounding,YieldFrequency,K$2)</f>
        <v>5.0482487513030092</v>
      </c>
      <c r="L146" s="109">
        <f ca="1">_xll.qlBondConvexityFromYield(O146,I146/100,YieldDayCounter,YieldCompounding,YieldFrequency)</f>
        <v>736.16713669729961</v>
      </c>
      <c r="M146" s="109" t="e">
        <f t="shared" ca="1" si="145"/>
        <v>#NAME?</v>
      </c>
      <c r="N146" s="109" t="str">
        <f>_xll.qlZeroCouponBond(,,"EUR",3,"target",100,$B146,"f",100,,,Trigger)</f>
        <v>obj_003c1#0001</v>
      </c>
      <c r="O146" s="109" t="str">
        <f>_xll.qlZeroCouponBond(,,"EUR",3,"target",100,$B146,"f",100,,,Trigger)</f>
        <v>obj_003c4#0001</v>
      </c>
      <c r="P146" s="109" t="str">
        <f>_xll.qlZeroCouponBond(,,"EUR",3,"target",100,$B146,"f",100,,,Trigger)</f>
        <v>obj_00346#0001</v>
      </c>
      <c r="Q146" s="109">
        <f t="shared" ca="1" si="142"/>
        <v>28.85</v>
      </c>
      <c r="R146" s="109">
        <f t="shared" ref="R146" ca="1" si="159">Q146</f>
        <v>28.85</v>
      </c>
      <c r="S146" s="33" t="str">
        <f>IF(UPPER(S$1)="ABCD",_xll.RtContribute($D$3,$D146,$Q$3:$R$3,$Q146:$R146,"SCOPE:SERVER"),"--")</f>
        <v>--</v>
      </c>
      <c r="T146" s="33" t="str">
        <f t="shared" si="144"/>
        <v>EUR.PRICING.XLS_STRIPS.IT0004976806</v>
      </c>
      <c r="U146" s="33" t="str">
        <f>IF(UPPER($V$1)="ABCD",MKV_PUBLISHRECORD(T146, "XLS_STRIPS"),"--")</f>
        <v>--</v>
      </c>
      <c r="V146" s="33" t="str">
        <f>IF(UPPER(V$1)="ABCD",MKV_SUPPLYRECORD(T146, "Bid",E146, "Ask",G146, "Id",A146, "Mid",F146, "Name",C146,"DV01",M146,"MidYield",I146,"BidYield",H146,"AskYield",J146),"--")</f>
        <v>--</v>
      </c>
    </row>
    <row r="147" spans="1:22" x14ac:dyDescent="0.2">
      <c r="A147" s="72" t="s">
        <v>291</v>
      </c>
      <c r="B147" s="89">
        <v>52291</v>
      </c>
      <c r="C147" s="47" t="s">
        <v>292</v>
      </c>
      <c r="D147" s="47" t="s">
        <v>293</v>
      </c>
      <c r="E147" s="109">
        <f ca="1"/>
        <v>27.9</v>
      </c>
      <c r="F147" s="109">
        <f ca="1"/>
        <v>28.226950450287941</v>
      </c>
      <c r="G147" s="109">
        <f t="shared" ca="1" si="141"/>
        <v>28.553900900575883</v>
      </c>
      <c r="H147" s="109">
        <f ca="1">_xll.qlBondYieldFromCleanPrice(N147,E147,YieldDayCounter,YieldCompounding,YieldFrequency)*100</f>
        <v>4.6037800535559654</v>
      </c>
      <c r="I147" s="109">
        <f ca="1">_xll.qlBondYieldFromCleanPrice(O147,F147,YieldDayCounter,YieldCompounding,YieldFrequency)*100</f>
        <v>4.5608192715370706</v>
      </c>
      <c r="J147" s="109">
        <f ca="1">_xll.qlBondYieldFromCleanPrice(P147,G147,YieldDayCounter,YieldCompounding,YieldFrequency)*100</f>
        <v>4.5183705852845994</v>
      </c>
      <c r="K147" s="109">
        <f ca="1">_xll.qlBondDurationFromYield(O147,I147,YieldDayCounter,YieldCompounding,YieldFrequency,K$2)</f>
        <v>5.1002635494350415</v>
      </c>
      <c r="L147" s="109">
        <f ca="1">_xll.qlBondConvexityFromYield(O147,I147/100,YieldDayCounter,YieldCompounding,YieldFrequency)</f>
        <v>761.68220649607701</v>
      </c>
      <c r="M147" s="109" t="e">
        <f t="shared" ca="1" si="145"/>
        <v>#NAME?</v>
      </c>
      <c r="N147" s="109" t="str">
        <f>_xll.qlZeroCouponBond(,,"EUR",3,"target",100,$B147,"f",100,,,Trigger)</f>
        <v>obj_0034e#0001</v>
      </c>
      <c r="O147" s="109" t="str">
        <f>_xll.qlZeroCouponBond(,,"EUR",3,"target",100,$B147,"f",100,,,Trigger)</f>
        <v>obj_003c3#0001</v>
      </c>
      <c r="P147" s="109" t="str">
        <f>_xll.qlZeroCouponBond(,,"EUR",3,"target",100,$B147,"f",100,,,Trigger)</f>
        <v>obj_0037c#0001</v>
      </c>
      <c r="Q147" s="109">
        <f t="shared" ca="1" si="142"/>
        <v>27.9</v>
      </c>
      <c r="R147" s="109">
        <f t="shared" ref="R147" ca="1" si="160">Q147</f>
        <v>27.9</v>
      </c>
      <c r="S147" s="33" t="str">
        <f>IF(UPPER(S$1)="ABCD",_xll.RtContribute($D$3,$D147,$Q$3:$R$3,$Q147:$R147,"SCOPE:SERVER"),"--")</f>
        <v>--</v>
      </c>
      <c r="T147" s="33" t="str">
        <f t="shared" si="144"/>
        <v>EUR.PRICING.XLS_STRIPS.IT0004976814</v>
      </c>
      <c r="U147" s="33" t="str">
        <f>IF(UPPER($V$1)="ABCD",MKV_PUBLISHRECORD(T147, "XLS_STRIPS"),"--")</f>
        <v>--</v>
      </c>
      <c r="V147" s="33" t="str">
        <f>IF(UPPER(V$1)="ABCD",MKV_SUPPLYRECORD(T147, "Bid",E147, "Ask",G147, "Id",A147, "Mid",F147, "Name",C147,"DV01",M147,"MidYield",I147,"BidYield",H147,"AskYield",J147),"--")</f>
        <v>--</v>
      </c>
    </row>
    <row r="148" spans="1:22" x14ac:dyDescent="0.2">
      <c r="A148" s="72" t="s">
        <v>294</v>
      </c>
      <c r="B148" s="89">
        <v>52475</v>
      </c>
      <c r="C148" s="47" t="s">
        <v>295</v>
      </c>
      <c r="D148" s="47" t="s">
        <v>296</v>
      </c>
      <c r="E148" s="109">
        <f ca="1"/>
        <v>26.97</v>
      </c>
      <c r="F148" s="109">
        <f ca="1"/>
        <v>27.287598587723643</v>
      </c>
      <c r="G148" s="109">
        <f t="shared" ca="1" si="141"/>
        <v>27.605197175447287</v>
      </c>
      <c r="H148" s="109">
        <f ca="1">_xll.qlBondYieldFromCleanPrice(N148,E148,YieldDayCounter,YieldCompounding,YieldFrequency)*100</f>
        <v>4.6448683366179466</v>
      </c>
      <c r="I148" s="109">
        <f ca="1">_xll.qlBondYieldFromCleanPrice(O148,F148,YieldDayCounter,YieldCompounding,YieldFrequency)*100</f>
        <v>4.6024316772818556</v>
      </c>
      <c r="J148" s="109">
        <f ca="1">_xll.qlBondYieldFromCleanPrice(P148,G148,YieldDayCounter,YieldCompounding,YieldFrequency)*100</f>
        <v>4.5605030057744802</v>
      </c>
      <c r="K148" s="109">
        <f ca="1">_xll.qlBondDurationFromYield(O148,I148,YieldDayCounter,YieldCompounding,YieldFrequency,K$2)</f>
        <v>5.1518725013053022</v>
      </c>
      <c r="L148" s="109">
        <f ca="1">_xll.qlBondConvexityFromYield(O148,I148/100,YieldDayCounter,YieldCompounding,YieldFrequency)</f>
        <v>787.7560508275858</v>
      </c>
      <c r="M148" s="109" t="e">
        <f t="shared" ca="1" si="145"/>
        <v>#NAME?</v>
      </c>
      <c r="N148" s="109" t="str">
        <f>_xll.qlZeroCouponBond(,,"EUR",3,"target",100,$B148,"f",100,,,Trigger)</f>
        <v>obj_002fc#0001</v>
      </c>
      <c r="O148" s="109" t="str">
        <f>_xll.qlZeroCouponBond(,,"EUR",3,"target",100,$B148,"f",100,,,Trigger)</f>
        <v>obj_002a3#0001</v>
      </c>
      <c r="P148" s="109" t="str">
        <f>_xll.qlZeroCouponBond(,,"EUR",3,"target",100,$B148,"f",100,,,Trigger)</f>
        <v>obj_002c1#0001</v>
      </c>
      <c r="Q148" s="109">
        <f t="shared" ca="1" si="142"/>
        <v>26.97</v>
      </c>
      <c r="R148" s="109">
        <f t="shared" ref="R148" ca="1" si="161">Q148</f>
        <v>26.97</v>
      </c>
      <c r="S148" s="33" t="str">
        <f>IF(UPPER(S$1)="ABCD",_xll.RtContribute($D$3,$D148,$Q$3:$R$3,$Q148:$R148,"SCOPE:SERVER"),"--")</f>
        <v>--</v>
      </c>
      <c r="T148" s="33" t="str">
        <f t="shared" si="144"/>
        <v>EUR.PRICING.XLS_STRIPS.IT0004976822</v>
      </c>
      <c r="U148" s="33" t="str">
        <f>IF(UPPER($V$1)="ABCD",MKV_PUBLISHRECORD(T148, "XLS_STRIPS"),"--")</f>
        <v>--</v>
      </c>
      <c r="V148" s="33" t="str">
        <f>IF(UPPER(V$1)="ABCD",MKV_SUPPLYRECORD(T148, "Bid",E148, "Ask",G148, "Id",A148, "Mid",F148, "Name",C148,"DV01",M148,"MidYield",I148,"BidYield",H148,"AskYield",J148),"--")</f>
        <v>--</v>
      </c>
    </row>
    <row r="149" spans="1:22" x14ac:dyDescent="0.2">
      <c r="A149" s="72" t="s">
        <v>297</v>
      </c>
      <c r="B149" s="89">
        <v>52657</v>
      </c>
      <c r="C149" s="47" t="s">
        <v>298</v>
      </c>
      <c r="D149" s="47" t="s">
        <v>299</v>
      </c>
      <c r="E149" s="109">
        <f ca="1"/>
        <v>26.08</v>
      </c>
      <c r="F149" s="109">
        <f ca="1"/>
        <v>26.389213243455494</v>
      </c>
      <c r="G149" s="109">
        <f t="shared" ca="1" si="141"/>
        <v>26.698426486910989</v>
      </c>
      <c r="H149" s="109">
        <f ca="1">_xll.qlBondYieldFromCleanPrice(N149,E149,YieldDayCounter,YieldCompounding,YieldFrequency)*100</f>
        <v>4.6842326298356065</v>
      </c>
      <c r="I149" s="109">
        <f ca="1">_xll.qlBondYieldFromCleanPrice(O149,F149,YieldDayCounter,YieldCompounding,YieldFrequency)*100</f>
        <v>4.6422139120151584</v>
      </c>
      <c r="J149" s="109">
        <f ca="1">_xll.qlBondYieldFromCleanPrice(P149,G149,YieldDayCounter,YieldCompounding,YieldFrequency)*100</f>
        <v>4.6007012501358995</v>
      </c>
      <c r="K149" s="109">
        <f ca="1">_xll.qlBondDurationFromYield(O149,I149,YieldDayCounter,YieldCompounding,YieldFrequency,K$2)</f>
        <v>5.2034369074644475</v>
      </c>
      <c r="L149" s="109">
        <f ca="1">_xll.qlBondConvexityFromYield(O149,I149/100,YieldDayCounter,YieldCompounding,YieldFrequency)</f>
        <v>813.97692229344</v>
      </c>
      <c r="M149" s="109" t="e">
        <f t="shared" ca="1" si="145"/>
        <v>#NAME?</v>
      </c>
      <c r="N149" s="109" t="str">
        <f>_xll.qlZeroCouponBond(,,"EUR",3,"target",100,$B149,"f",100,,,Trigger)</f>
        <v>obj_00250#0001</v>
      </c>
      <c r="O149" s="109" t="str">
        <f>_xll.qlZeroCouponBond(,,"EUR",3,"target",100,$B149,"f",100,,,Trigger)</f>
        <v>obj_00231#0001</v>
      </c>
      <c r="P149" s="109" t="str">
        <f>_xll.qlZeroCouponBond(,,"EUR",3,"target",100,$B149,"f",100,,,Trigger)</f>
        <v>obj_00246#0001</v>
      </c>
      <c r="Q149" s="109">
        <f t="shared" ca="1" si="142"/>
        <v>26.08</v>
      </c>
      <c r="R149" s="109">
        <f t="shared" ref="R149" ca="1" si="162">Q149</f>
        <v>26.08</v>
      </c>
      <c r="S149" s="33" t="str">
        <f>IF(UPPER(S$1)="ABCD",_xll.RtContribute($D$3,$D149,$Q$3:$R$3,$Q149:$R149,"SCOPE:SERVER"),"--")</f>
        <v>--</v>
      </c>
      <c r="T149" s="33" t="str">
        <f t="shared" si="144"/>
        <v>EUR.PRICING.XLS_STRIPS.IT0004976830</v>
      </c>
      <c r="U149" s="33" t="str">
        <f>IF(UPPER($V$1)="ABCD",MKV_PUBLISHRECORD(T149, "XLS_STRIPS"),"--")</f>
        <v>--</v>
      </c>
      <c r="V149" s="33" t="str">
        <f>IF(UPPER(V$1)="ABCD",MKV_SUPPLYRECORD(T149, "Bid",E149, "Ask",G149, "Id",A149, "Mid",F149, "Name",C149,"DV01",M149,"MidYield",I149,"BidYield",H149,"AskYield",J149),"--")</f>
        <v>--</v>
      </c>
    </row>
    <row r="150" spans="1:22" x14ac:dyDescent="0.2">
      <c r="A150" s="72" t="s">
        <v>300</v>
      </c>
      <c r="B150" s="89">
        <v>52841</v>
      </c>
      <c r="C150" s="47" t="s">
        <v>301</v>
      </c>
      <c r="D150" s="47" t="s">
        <v>302</v>
      </c>
      <c r="E150" s="109">
        <f ca="1"/>
        <v>25.2</v>
      </c>
      <c r="F150" s="109">
        <f ca="1"/>
        <v>25.511018602645706</v>
      </c>
      <c r="G150" s="109">
        <f t="shared" ca="1" si="141"/>
        <v>25.822037205291412</v>
      </c>
      <c r="H150" s="109">
        <f ca="1">_xll.qlBondYieldFromCleanPrice(N150,E150,YieldDayCounter,YieldCompounding,YieldFrequency)*100</f>
        <v>4.7236677768161455</v>
      </c>
      <c r="I150" s="109">
        <f ca="1">_xll.qlBondYieldFromCleanPrice(O150,F150,YieldDayCounter,YieldCompounding,YieldFrequency)*100</f>
        <v>4.6806605489254762</v>
      </c>
      <c r="J150" s="109">
        <f ca="1">_xll.qlBondYieldFromCleanPrice(P150,G150,YieldDayCounter,YieldCompounding,YieldFrequency)*100</f>
        <v>4.6381918171219159</v>
      </c>
      <c r="K150" s="109">
        <f ca="1">_xll.qlBondDurationFromYield(O150,I150,YieldDayCounter,YieldCompounding,YieldFrequency,K$2)</f>
        <v>5.2569614821077222</v>
      </c>
      <c r="L150" s="109">
        <f ca="1">_xll.qlBondConvexityFromYield(O150,I150/100,YieldDayCounter,YieldCompounding,YieldFrequency)</f>
        <v>841.08338952909492</v>
      </c>
      <c r="M150" s="109" t="e">
        <f t="shared" ca="1" si="145"/>
        <v>#NAME?</v>
      </c>
      <c r="N150" s="109" t="str">
        <f>_xll.qlZeroCouponBond(,,"EUR",3,"target",100,$B150,"f",100,,,Trigger)</f>
        <v>obj_003b9#0001</v>
      </c>
      <c r="O150" s="109" t="str">
        <f>_xll.qlZeroCouponBond(,,"EUR",3,"target",100,$B150,"f",100,,,Trigger)</f>
        <v>obj_0028e#0001</v>
      </c>
      <c r="P150" s="109" t="str">
        <f>_xll.qlZeroCouponBond(,,"EUR",3,"target",100,$B150,"f",100,,,Trigger)</f>
        <v>obj_0025f#0001</v>
      </c>
      <c r="Q150" s="109">
        <f t="shared" ca="1" si="142"/>
        <v>25.2</v>
      </c>
      <c r="R150" s="109">
        <f t="shared" ref="R150" ca="1" si="163">Q150</f>
        <v>25.2</v>
      </c>
      <c r="S150" s="33" t="str">
        <f>IF(UPPER(S$1)="ABCD",_xll.RtContribute($D$3,$D150,$Q$3:$R$3,$Q150:$R150,"SCOPE:SERVER"),"--")</f>
        <v>--</v>
      </c>
      <c r="T150" s="33" t="str">
        <f t="shared" si="144"/>
        <v>EUR.PRICING.XLS_STRIPS.IT0004976848</v>
      </c>
      <c r="U150" s="33" t="str">
        <f>IF(UPPER($V$1)="ABCD",MKV_PUBLISHRECORD(T150, "XLS_STRIPS"),"--")</f>
        <v>--</v>
      </c>
      <c r="V150" s="33" t="str">
        <f>IF(UPPER(V$1)="ABCD",MKV_SUPPLYRECORD(T150, "Bid",E150, "Ask",G150, "Id",A150, "Mid",F150, "Name",C150,"DV01",M150,"MidYield",I150,"BidYield",H150,"AskYield",J150),"--")</f>
        <v>--</v>
      </c>
    </row>
  </sheetData>
  <phoneticPr fontId="2" type="noConversion"/>
  <dataValidations disablePrompts="1" count="1">
    <dataValidation type="list" allowBlank="1" showInputMessage="1" showErrorMessage="1" sqref="K2:M2">
      <formula1>"Macaulay,Modified,Simple"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C20"/>
  <sheetViews>
    <sheetView workbookViewId="0">
      <selection activeCell="C5" sqref="C5"/>
    </sheetView>
  </sheetViews>
  <sheetFormatPr defaultRowHeight="12.75" x14ac:dyDescent="0.2"/>
  <cols>
    <col min="2" max="2" width="14.7109375" bestFit="1" customWidth="1"/>
    <col min="3" max="3" width="15.5703125" bestFit="1" customWidth="1"/>
  </cols>
  <sheetData>
    <row r="4" spans="2:3" ht="13.5" thickBot="1" x14ac:dyDescent="0.25"/>
    <row r="5" spans="2:3" x14ac:dyDescent="0.2">
      <c r="B5" s="112" t="s">
        <v>532</v>
      </c>
      <c r="C5" s="118" t="e">
        <f>_xll.qlFloatingRateBond(,C7,C8,C9,C10,C11,C6,C13,C14,C15,,,C16,C17,,C18)</f>
        <v>#NUM!</v>
      </c>
    </row>
    <row r="6" spans="2:3" ht="13.5" thickBot="1" x14ac:dyDescent="0.25">
      <c r="B6" s="114" t="s">
        <v>522</v>
      </c>
      <c r="C6" s="119" t="str">
        <f>_xll.qlSchedule(,BondSettlementDate,C12,"6m","target","f",,"backward",,,,,Trigger)</f>
        <v>obj_003da#0003</v>
      </c>
    </row>
    <row r="7" spans="2:3" x14ac:dyDescent="0.2">
      <c r="B7" s="113" t="s">
        <v>523</v>
      </c>
      <c r="C7" s="115" t="s">
        <v>534</v>
      </c>
    </row>
    <row r="8" spans="2:3" x14ac:dyDescent="0.2">
      <c r="B8" s="113" t="s">
        <v>524</v>
      </c>
      <c r="C8" s="115" t="s">
        <v>520</v>
      </c>
    </row>
    <row r="9" spans="2:3" x14ac:dyDescent="0.2">
      <c r="B9" s="113" t="s">
        <v>525</v>
      </c>
      <c r="C9" s="116">
        <v>2</v>
      </c>
    </row>
    <row r="10" spans="2:3" x14ac:dyDescent="0.2">
      <c r="B10" s="113" t="s">
        <v>526</v>
      </c>
      <c r="C10" s="115" t="s">
        <v>521</v>
      </c>
    </row>
    <row r="11" spans="2:3" x14ac:dyDescent="0.2">
      <c r="B11" s="113" t="s">
        <v>527</v>
      </c>
      <c r="C11" s="115">
        <v>100</v>
      </c>
    </row>
    <row r="12" spans="2:3" x14ac:dyDescent="0.2">
      <c r="B12" s="113" t="s">
        <v>535</v>
      </c>
      <c r="C12" s="120" t="s">
        <v>536</v>
      </c>
    </row>
    <row r="13" spans="2:3" x14ac:dyDescent="0.2">
      <c r="B13" s="113" t="s">
        <v>528</v>
      </c>
      <c r="C13" s="115">
        <v>2</v>
      </c>
    </row>
    <row r="14" spans="2:3" x14ac:dyDescent="0.2">
      <c r="B14" s="113" t="s">
        <v>529</v>
      </c>
      <c r="C14" s="115" t="b">
        <v>0</v>
      </c>
    </row>
    <row r="15" spans="2:3" x14ac:dyDescent="0.2">
      <c r="B15" s="113" t="s">
        <v>530</v>
      </c>
      <c r="C15" s="115" t="s">
        <v>533</v>
      </c>
    </row>
    <row r="16" spans="2:3" x14ac:dyDescent="0.2">
      <c r="B16" s="113" t="s">
        <v>531</v>
      </c>
      <c r="C16" s="115" t="s">
        <v>23</v>
      </c>
    </row>
    <row r="17" spans="2:3" x14ac:dyDescent="0.2">
      <c r="B17" s="113" t="s">
        <v>503</v>
      </c>
      <c r="C17" s="121">
        <v>0.01</v>
      </c>
    </row>
    <row r="18" spans="2:3" ht="13.5" thickBot="1" x14ac:dyDescent="0.25">
      <c r="B18" s="114" t="s">
        <v>5</v>
      </c>
      <c r="C18" s="117">
        <v>100</v>
      </c>
    </row>
    <row r="20" spans="2:3" x14ac:dyDescent="0.2">
      <c r="C20" t="e">
        <f>_xll.qlBondCleanPriceFromYieldTermStructure(C5,BtpCurve)</f>
        <v>#VALUE!</v>
      </c>
    </row>
  </sheetData>
  <dataValidations count="4">
    <dataValidation type="list" allowBlank="1" showInputMessage="1" showErrorMessage="1" sqref="C8">
      <formula1>"EUR,USD,GBP,JPY,CHF"</formula1>
    </dataValidation>
    <dataValidation type="list" allowBlank="1" showInputMessage="1" showErrorMessage="1" sqref="C10">
      <formula1>"Following,Modified Following,Preceding,Modified Preceding,Unadjusted"</formula1>
    </dataValidation>
    <dataValidation type="list" allowBlank="1" showInputMessage="1" showErrorMessage="1" sqref="C15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C16">
      <formula1>"EuriborSW,Euribor2W,Euribor3W,Euribor1M,Euribor2M,Euribor3M,Euribor4M,Euribor5M,Euribor6M,Euribor7M,Euribor8M,Euribor9M,Euribor10M,Euribor11M,Euribor1Y"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23</vt:i4>
      </vt:variant>
    </vt:vector>
  </HeadingPairs>
  <TitlesOfParts>
    <vt:vector size="28" baseType="lpstr">
      <vt:lpstr>General Settings</vt:lpstr>
      <vt:lpstr>BtpCurve</vt:lpstr>
      <vt:lpstr>Bond Analysis</vt:lpstr>
      <vt:lpstr>Contribution</vt:lpstr>
      <vt:lpstr>CCT</vt:lpstr>
      <vt:lpstr>AswIndex</vt:lpstr>
      <vt:lpstr>BondPricingEngine</vt:lpstr>
      <vt:lpstr>BondSettlementDate</vt:lpstr>
      <vt:lpstr>BtpCurve</vt:lpstr>
      <vt:lpstr>Descriptions</vt:lpstr>
      <vt:lpstr>DiscountingCurve</vt:lpstr>
      <vt:lpstr>ExcludeMarchSeptember</vt:lpstr>
      <vt:lpstr>IgnoreResiduePremium</vt:lpstr>
      <vt:lpstr>ParAsw</vt:lpstr>
      <vt:lpstr>PriceSelector</vt:lpstr>
      <vt:lpstr>PriceTrigger</vt:lpstr>
      <vt:lpstr>ReferenceBond</vt:lpstr>
      <vt:lpstr>ReferenceBondAccruedAmount</vt:lpstr>
      <vt:lpstr>ReferenceBondDescription</vt:lpstr>
      <vt:lpstr>ReferenceBondISIN</vt:lpstr>
      <vt:lpstr>ReferenceBondPrice</vt:lpstr>
      <vt:lpstr>ReferenceBondPrincipaPremium</vt:lpstr>
      <vt:lpstr>Trigger</vt:lpstr>
      <vt:lpstr>YieldCompounding</vt:lpstr>
      <vt:lpstr>YieldCurveInterpolation</vt:lpstr>
      <vt:lpstr>YieldCurveTraits</vt:lpstr>
      <vt:lpstr>YieldDayCounter</vt:lpstr>
      <vt:lpstr>YieldFrequency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murrom1a</dc:creator>
  <cp:lastModifiedBy>MAZZOCCHI PAOLO</cp:lastModifiedBy>
  <dcterms:created xsi:type="dcterms:W3CDTF">2009-02-27T08:24:03Z</dcterms:created>
  <dcterms:modified xsi:type="dcterms:W3CDTF">2014-10-16T15:54:26Z</dcterms:modified>
</cp:coreProperties>
</file>