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840" yWindow="165" windowWidth="19110" windowHeight="12075" tabRatio="397" activeTab="3"/>
  </bookViews>
  <sheets>
    <sheet name="Triggers" sheetId="2" r:id="rId1"/>
    <sheet name="Indexes" sheetId="4" r:id="rId2"/>
    <sheet name="Pricing" sheetId="1" r:id="rId3"/>
    <sheet name="Contribution" sheetId="5" r:id="rId4"/>
  </sheets>
  <externalReferences>
    <externalReference r:id="rId5"/>
  </externalReferences>
  <definedNames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H50" i="5" l="1"/>
  <c r="H49" i="5"/>
  <c r="H48" i="5"/>
  <c r="H47" i="5"/>
  <c r="H46" i="5"/>
  <c r="H45" i="5"/>
  <c r="H44" i="5"/>
  <c r="H43" i="5"/>
  <c r="H70" i="5" l="1"/>
  <c r="I70" i="5" s="1"/>
  <c r="H69" i="5"/>
  <c r="I69" i="5" s="1"/>
  <c r="H68" i="5"/>
  <c r="I68" i="5" s="1"/>
  <c r="H67" i="5"/>
  <c r="I67" i="5" s="1"/>
  <c r="I66" i="5"/>
  <c r="H66" i="5"/>
  <c r="H65" i="5"/>
  <c r="I65" i="5" s="1"/>
  <c r="H64" i="5"/>
  <c r="I64" i="5" s="1"/>
  <c r="H63" i="5"/>
  <c r="I63" i="5" s="1"/>
  <c r="H62" i="5"/>
  <c r="I62" i="5" s="1"/>
  <c r="H61" i="5"/>
  <c r="I61" i="5" s="1"/>
  <c r="H60" i="5"/>
  <c r="I60" i="5" s="1"/>
  <c r="H59" i="5"/>
  <c r="I59" i="5" s="1"/>
  <c r="I58" i="5"/>
  <c r="H58" i="5"/>
  <c r="H57" i="5"/>
  <c r="I57" i="5" s="1"/>
  <c r="H56" i="5"/>
  <c r="I56" i="5" s="1"/>
  <c r="H55" i="5"/>
  <c r="I55" i="5" s="1"/>
  <c r="H54" i="5"/>
  <c r="I54" i="5" s="1"/>
  <c r="H53" i="5"/>
  <c r="I53" i="5" s="1"/>
  <c r="H52" i="5"/>
  <c r="I52" i="5" s="1"/>
  <c r="H51" i="5"/>
  <c r="I51" i="5" s="1"/>
  <c r="I50" i="5"/>
  <c r="I49" i="5"/>
  <c r="I48" i="5"/>
  <c r="I47" i="5"/>
  <c r="I46" i="5"/>
  <c r="I45" i="5"/>
  <c r="I44" i="5"/>
  <c r="I43" i="5"/>
  <c r="E2" i="4" l="1"/>
  <c r="D2" i="4"/>
  <c r="C2" i="4"/>
  <c r="B2" i="4"/>
  <c r="D5" i="2"/>
  <c r="A5" i="1" l="1"/>
  <c r="A5" i="5"/>
  <c r="A6" i="1"/>
  <c r="A6" i="5"/>
  <c r="A7" i="1"/>
  <c r="A7" i="5"/>
  <c r="A8" i="1"/>
  <c r="A8" i="5"/>
  <c r="A9" i="1"/>
  <c r="A9" i="5"/>
  <c r="A10" i="1"/>
  <c r="A10" i="5"/>
  <c r="A11" i="1"/>
  <c r="A11" i="5"/>
  <c r="A12" i="1"/>
  <c r="A12" i="5"/>
  <c r="G12" i="5"/>
  <c r="A13" i="1"/>
  <c r="A13" i="5"/>
  <c r="G13" i="5"/>
  <c r="A14" i="1"/>
  <c r="A14" i="5"/>
  <c r="A15" i="1"/>
  <c r="A15" i="5"/>
  <c r="A16" i="1"/>
  <c r="A16" i="5"/>
  <c r="A17" i="1"/>
  <c r="A17" i="5"/>
  <c r="A18" i="1"/>
  <c r="A18" i="5"/>
  <c r="G18" i="5"/>
  <c r="A19" i="1"/>
  <c r="A19" i="5"/>
  <c r="G19" i="5"/>
  <c r="A20" i="1"/>
  <c r="A20" i="5"/>
  <c r="G20" i="5"/>
  <c r="A21" i="1"/>
  <c r="A21" i="5"/>
  <c r="G21" i="5"/>
  <c r="A22" i="1"/>
  <c r="A2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1"/>
  <c r="A71" i="5"/>
  <c r="M71" i="5"/>
  <c r="P71" i="5"/>
  <c r="A75" i="1"/>
  <c r="A75" i="5"/>
  <c r="P75" i="5"/>
  <c r="A79" i="1"/>
  <c r="A79" i="5"/>
  <c r="P79" i="5"/>
  <c r="A80" i="1"/>
  <c r="A80" i="5"/>
  <c r="A81" i="1"/>
  <c r="A81" i="5"/>
  <c r="A82" i="1"/>
  <c r="A82" i="5"/>
  <c r="A83" i="1"/>
  <c r="A83" i="5"/>
  <c r="A84" i="1"/>
  <c r="A84" i="5"/>
  <c r="A85" i="1"/>
  <c r="A85" i="5"/>
  <c r="A86" i="1"/>
  <c r="A86" i="5"/>
  <c r="M86" i="5"/>
  <c r="P86" i="5"/>
  <c r="A87" i="1"/>
  <c r="A87" i="5"/>
  <c r="M87" i="5"/>
  <c r="P87" i="5"/>
  <c r="A88" i="1"/>
  <c r="A88" i="5"/>
  <c r="A89" i="1"/>
  <c r="A89" i="5"/>
  <c r="P89" i="5"/>
  <c r="A90" i="1"/>
  <c r="A90" i="5"/>
  <c r="J90" i="5"/>
  <c r="A91" i="1"/>
  <c r="A91" i="5"/>
  <c r="J91" i="5"/>
  <c r="P91" i="5"/>
  <c r="A92" i="1"/>
  <c r="A92" i="5"/>
  <c r="J92" i="5"/>
  <c r="A93" i="1"/>
  <c r="A93" i="5"/>
  <c r="M93" i="5"/>
  <c r="A94" i="1"/>
  <c r="A94" i="5"/>
  <c r="A95" i="1"/>
  <c r="A95" i="5"/>
  <c r="P95" i="5"/>
  <c r="A96" i="1"/>
  <c r="A96" i="5"/>
  <c r="A97" i="1"/>
  <c r="A97" i="5"/>
  <c r="A98" i="1"/>
  <c r="A98" i="5"/>
  <c r="P98" i="5"/>
  <c r="A99" i="1"/>
  <c r="A99" i="5"/>
  <c r="A100" i="1"/>
  <c r="A100" i="5"/>
  <c r="A101" i="1"/>
  <c r="A101" i="5"/>
  <c r="A102" i="1"/>
  <c r="A102" i="5"/>
  <c r="A103" i="1"/>
  <c r="A103" i="5"/>
  <c r="A104" i="1"/>
  <c r="A104" i="5"/>
  <c r="J104" i="5"/>
  <c r="A105" i="1"/>
  <c r="A105" i="5"/>
  <c r="P105" i="5"/>
  <c r="A106" i="1"/>
  <c r="A106" i="5"/>
  <c r="J106" i="5"/>
  <c r="A107" i="1"/>
  <c r="A107" i="5"/>
  <c r="J107" i="5"/>
  <c r="P107" i="5"/>
  <c r="A108" i="1"/>
  <c r="A108" i="5"/>
  <c r="P108" i="5"/>
  <c r="A109" i="1"/>
  <c r="A109" i="5"/>
  <c r="J109" i="5"/>
  <c r="P109" i="5"/>
  <c r="A110" i="1"/>
  <c r="A110" i="5"/>
  <c r="A111" i="1"/>
  <c r="A111" i="5"/>
  <c r="P111" i="5"/>
  <c r="A112" i="1"/>
  <c r="A112" i="5"/>
  <c r="P112" i="5"/>
  <c r="A113" i="1"/>
  <c r="A113" i="5"/>
  <c r="J113" i="5"/>
  <c r="P113" i="5"/>
  <c r="A114" i="1"/>
  <c r="A114" i="5"/>
  <c r="A115" i="1"/>
  <c r="A115" i="5"/>
  <c r="A116" i="1"/>
  <c r="A116" i="5"/>
  <c r="A117" i="1"/>
  <c r="A117" i="5"/>
  <c r="A118" i="1"/>
  <c r="A118" i="5"/>
  <c r="A119" i="1"/>
  <c r="A119" i="5"/>
  <c r="P119" i="5"/>
  <c r="A120" i="1"/>
  <c r="A120" i="5"/>
  <c r="M120" i="5"/>
  <c r="P120" i="5"/>
  <c r="A121" i="1"/>
  <c r="A121" i="5"/>
  <c r="P121" i="5"/>
  <c r="A122" i="1"/>
  <c r="A122" i="5"/>
  <c r="J122" i="5"/>
  <c r="A123" i="1"/>
  <c r="A123" i="5"/>
  <c r="A124" i="1"/>
  <c r="A124" i="5"/>
  <c r="P124" i="5"/>
  <c r="A125" i="1"/>
  <c r="A125" i="5"/>
  <c r="A126" i="1"/>
  <c r="A126" i="5"/>
  <c r="P126" i="5"/>
  <c r="A127" i="1"/>
  <c r="A127" i="5"/>
  <c r="P127" i="5"/>
  <c r="A128" i="1"/>
  <c r="A128" i="5"/>
  <c r="P128" i="5"/>
  <c r="A129" i="1"/>
  <c r="A129" i="5"/>
  <c r="J129" i="5"/>
  <c r="P129" i="5"/>
  <c r="A130" i="1"/>
  <c r="A130" i="5"/>
  <c r="M130" i="5"/>
  <c r="P130" i="5"/>
  <c r="A131" i="1"/>
  <c r="A131" i="5"/>
  <c r="A132" i="1"/>
  <c r="A132" i="5"/>
  <c r="A133" i="1"/>
  <c r="A133" i="5"/>
  <c r="A134" i="1"/>
  <c r="A134" i="5"/>
  <c r="M134" i="5"/>
  <c r="P134" i="5"/>
  <c r="A135" i="1"/>
  <c r="A135" i="5"/>
  <c r="A136" i="1"/>
  <c r="A136" i="5"/>
  <c r="M136" i="5"/>
  <c r="P136" i="5"/>
  <c r="A51" i="5"/>
  <c r="A52" i="5"/>
  <c r="A73" i="1"/>
  <c r="A73" i="5"/>
  <c r="M73" i="5"/>
  <c r="M75" i="5"/>
  <c r="A77" i="1"/>
  <c r="A77" i="5"/>
  <c r="J77" i="5"/>
  <c r="M79" i="5"/>
  <c r="M89" i="5"/>
  <c r="M91" i="5"/>
  <c r="M92" i="5"/>
  <c r="M94" i="5"/>
  <c r="M95" i="5"/>
  <c r="M98" i="5"/>
  <c r="M105" i="5"/>
  <c r="M107" i="5"/>
  <c r="M110" i="5"/>
  <c r="M111" i="5"/>
  <c r="M112" i="5"/>
  <c r="M113" i="5"/>
  <c r="M119" i="5"/>
  <c r="M121" i="5"/>
  <c r="M126" i="5"/>
  <c r="M127" i="5"/>
  <c r="M128" i="5"/>
  <c r="M129" i="5"/>
  <c r="M135" i="5"/>
  <c r="J71" i="5"/>
  <c r="A72" i="1"/>
  <c r="A72" i="5"/>
  <c r="J72" i="5"/>
  <c r="J73" i="5"/>
  <c r="A74" i="1"/>
  <c r="A74" i="5"/>
  <c r="J74" i="5"/>
  <c r="J75" i="5"/>
  <c r="A76" i="1"/>
  <c r="A76" i="5"/>
  <c r="J76" i="5"/>
  <c r="A78" i="1"/>
  <c r="A78" i="5"/>
  <c r="J78" i="5"/>
  <c r="J79" i="5"/>
  <c r="J84" i="5"/>
  <c r="J85" i="5"/>
  <c r="J86" i="5"/>
  <c r="J89" i="5"/>
  <c r="J93" i="5"/>
  <c r="J95" i="5"/>
  <c r="J96" i="5"/>
  <c r="J98" i="5"/>
  <c r="J99" i="5"/>
  <c r="J100" i="5"/>
  <c r="J101" i="5"/>
  <c r="J105" i="5"/>
  <c r="J111" i="5"/>
  <c r="J112" i="5"/>
  <c r="J115" i="5"/>
  <c r="J116" i="5"/>
  <c r="J119" i="5"/>
  <c r="J120" i="5"/>
  <c r="J121" i="5"/>
  <c r="J126" i="5"/>
  <c r="J127" i="5"/>
  <c r="J128" i="5"/>
  <c r="J130" i="5"/>
  <c r="J134" i="5"/>
  <c r="J136" i="5"/>
  <c r="G14" i="5"/>
  <c r="G15" i="5"/>
  <c r="G16" i="5"/>
  <c r="G17" i="5"/>
  <c r="G2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C75" i="5"/>
  <c r="C71" i="5"/>
  <c r="E71" i="5"/>
  <c r="E75" i="5"/>
  <c r="D71" i="5"/>
  <c r="D75" i="5"/>
  <c r="B5" i="5"/>
  <c r="B6" i="5"/>
  <c r="B7" i="5"/>
  <c r="B8" i="5"/>
  <c r="B9" i="5"/>
  <c r="B10" i="5"/>
  <c r="B11" i="5"/>
  <c r="B72" i="5"/>
  <c r="B73" i="5"/>
  <c r="B74" i="5"/>
  <c r="B75" i="5"/>
  <c r="B76" i="5"/>
  <c r="B77" i="5"/>
  <c r="B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26" i="5"/>
  <c r="C126" i="5"/>
  <c r="D126" i="5"/>
  <c r="E126" i="5"/>
  <c r="B136" i="5"/>
  <c r="C136" i="5"/>
  <c r="D136" i="5"/>
  <c r="E136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M118" i="5"/>
  <c r="P118" i="5"/>
  <c r="J118" i="5"/>
  <c r="P125" i="5"/>
  <c r="J125" i="5"/>
  <c r="M125" i="5"/>
  <c r="M102" i="5"/>
  <c r="J102" i="5"/>
  <c r="P102" i="5"/>
  <c r="J103" i="5"/>
  <c r="P103" i="5"/>
  <c r="M103" i="5"/>
  <c r="M104" i="5"/>
  <c r="P104" i="5"/>
  <c r="M117" i="5"/>
  <c r="P117" i="5"/>
  <c r="J117" i="5"/>
  <c r="J81" i="5"/>
  <c r="P81" i="5"/>
  <c r="M81" i="5"/>
  <c r="M109" i="5"/>
  <c r="M133" i="5"/>
  <c r="P133" i="5"/>
  <c r="J133" i="5"/>
  <c r="P114" i="5"/>
  <c r="M114" i="5"/>
  <c r="M88" i="5"/>
  <c r="J88" i="5"/>
  <c r="P88" i="5"/>
  <c r="J123" i="5"/>
  <c r="M123" i="5"/>
  <c r="P123" i="5"/>
  <c r="P96" i="5"/>
  <c r="M96" i="5"/>
  <c r="J114" i="5"/>
  <c r="J124" i="5"/>
  <c r="M124" i="5"/>
  <c r="J82" i="5"/>
  <c r="P82" i="5"/>
  <c r="M82" i="5"/>
  <c r="M77" i="5"/>
  <c r="P80" i="5"/>
  <c r="J80" i="5"/>
  <c r="M80" i="5"/>
  <c r="J87" i="5"/>
  <c r="J97" i="5"/>
  <c r="P97" i="5"/>
  <c r="M97" i="5"/>
  <c r="P94" i="5"/>
  <c r="J94" i="5"/>
  <c r="P135" i="5"/>
  <c r="J135" i="5"/>
  <c r="P110" i="5"/>
  <c r="J110" i="5"/>
  <c r="P93" i="5"/>
  <c r="M132" i="5"/>
  <c r="P132" i="5"/>
  <c r="J132" i="5"/>
  <c r="M116" i="5"/>
  <c r="P116" i="5"/>
  <c r="P131" i="5"/>
  <c r="M131" i="5"/>
  <c r="P115" i="5"/>
  <c r="M115" i="5"/>
  <c r="J108" i="5"/>
  <c r="M108" i="5"/>
  <c r="M100" i="5"/>
  <c r="P100" i="5"/>
  <c r="P99" i="5"/>
  <c r="M99" i="5"/>
  <c r="P83" i="5"/>
  <c r="M83" i="5"/>
  <c r="J83" i="5"/>
  <c r="J131" i="5"/>
  <c r="M101" i="5"/>
  <c r="P101" i="5"/>
  <c r="P92" i="5"/>
  <c r="M85" i="5"/>
  <c r="P85" i="5"/>
  <c r="M84" i="5"/>
  <c r="P84" i="5"/>
  <c r="M122" i="5"/>
  <c r="M106" i="5"/>
  <c r="M90" i="5"/>
  <c r="P122" i="5"/>
  <c r="P106" i="5"/>
  <c r="P90" i="5"/>
  <c r="D6" i="2"/>
  <c r="J4" i="5"/>
  <c r="G4" i="5"/>
  <c r="P4" i="5"/>
  <c r="M4" i="5"/>
  <c r="D12" i="2"/>
  <c r="B18" i="4"/>
  <c r="E12" i="4"/>
  <c r="A31" i="4" a="1"/>
  <c r="D13" i="4"/>
  <c r="D10" i="4"/>
  <c r="B12" i="4"/>
  <c r="E8" i="4"/>
  <c r="E17" i="4"/>
  <c r="B14" i="4"/>
  <c r="B11" i="4"/>
  <c r="E10" i="4"/>
  <c r="E13" i="4"/>
  <c r="B1" i="2"/>
  <c r="E7" i="4"/>
  <c r="D8" i="4"/>
  <c r="B20" i="4"/>
  <c r="E18" i="4"/>
  <c r="E14" i="4"/>
  <c r="E15" i="4"/>
  <c r="B8" i="4"/>
  <c r="B10" i="4"/>
  <c r="B22" i="4"/>
  <c r="E9" i="4"/>
  <c r="C8" i="4"/>
  <c r="D7" i="4"/>
  <c r="B9" i="4"/>
  <c r="D15" i="2"/>
  <c r="B17" i="4"/>
  <c r="C10" i="4"/>
  <c r="C13" i="4"/>
  <c r="D15" i="4"/>
  <c r="B19" i="4"/>
  <c r="E21" i="4"/>
  <c r="C11" i="4"/>
  <c r="B16" i="4"/>
  <c r="C12" i="4"/>
  <c r="B15" i="4"/>
  <c r="C7" i="4"/>
  <c r="D16" i="4"/>
  <c r="D11" i="4"/>
  <c r="E20" i="4"/>
  <c r="E22" i="4"/>
  <c r="D12" i="4"/>
  <c r="E19" i="4"/>
  <c r="C9" i="4"/>
  <c r="D9" i="4"/>
  <c r="D13" i="2"/>
  <c r="E11" i="4"/>
  <c r="B13" i="4"/>
  <c r="B21" i="4"/>
  <c r="D14" i="4"/>
  <c r="B7" i="4"/>
  <c r="E16" i="4"/>
  <c r="K51" i="4"/>
  <c r="K53" i="4"/>
  <c r="K61" i="4"/>
  <c r="K57" i="4"/>
  <c r="K55" i="4"/>
  <c r="K64" i="4"/>
  <c r="K70" i="4"/>
  <c r="K65" i="4"/>
  <c r="K63" i="4"/>
  <c r="K56" i="4"/>
  <c r="K68" i="4"/>
  <c r="K60" i="4"/>
  <c r="K58" i="4"/>
  <c r="K69" i="4"/>
  <c r="K67" i="4"/>
  <c r="K66" i="4"/>
  <c r="K59" i="4"/>
  <c r="K62" i="4"/>
  <c r="K54" i="4"/>
  <c r="K52" i="4"/>
  <c r="J53" i="5" l="1"/>
  <c r="J56" i="5"/>
  <c r="J6" i="5"/>
  <c r="J5" i="5"/>
  <c r="J12" i="5"/>
  <c r="J58" i="5"/>
  <c r="J9" i="5"/>
  <c r="J10" i="5"/>
  <c r="J7" i="5"/>
  <c r="C4" i="5"/>
  <c r="J52" i="5"/>
  <c r="J13" i="5"/>
  <c r="J54" i="5"/>
  <c r="J8" i="5"/>
  <c r="J55" i="5"/>
  <c r="J11" i="5"/>
  <c r="J57" i="5"/>
  <c r="J51" i="5"/>
  <c r="G81" i="5"/>
  <c r="G78" i="5"/>
  <c r="G110" i="5"/>
  <c r="G95" i="5"/>
  <c r="G86" i="5"/>
  <c r="G8" i="5"/>
  <c r="G98" i="5"/>
  <c r="G117" i="5"/>
  <c r="G74" i="5"/>
  <c r="G132" i="5"/>
  <c r="G84" i="5"/>
  <c r="G97" i="5"/>
  <c r="G101" i="5"/>
  <c r="G85" i="5"/>
  <c r="G99" i="5"/>
  <c r="G94" i="5"/>
  <c r="G79" i="5"/>
  <c r="G76" i="5"/>
  <c r="G7" i="5"/>
  <c r="G9" i="5"/>
  <c r="G89" i="5"/>
  <c r="G73" i="5"/>
  <c r="G127" i="5"/>
  <c r="G115" i="5"/>
  <c r="G103" i="5"/>
  <c r="G112" i="5"/>
  <c r="G119" i="5"/>
  <c r="G77" i="5"/>
  <c r="G134" i="5"/>
  <c r="G5" i="5"/>
  <c r="G126" i="5"/>
  <c r="G113" i="5"/>
  <c r="G122" i="5"/>
  <c r="G111" i="5"/>
  <c r="G100" i="5"/>
  <c r="G75" i="5"/>
  <c r="G129" i="5"/>
  <c r="G105" i="5"/>
  <c r="G71" i="5"/>
  <c r="G80" i="5"/>
  <c r="G109" i="5"/>
  <c r="G133" i="5"/>
  <c r="G91" i="5"/>
  <c r="G136" i="5"/>
  <c r="G83" i="5"/>
  <c r="B4" i="5"/>
  <c r="G10" i="5"/>
  <c r="G6" i="5"/>
  <c r="G102" i="5"/>
  <c r="G92" i="5"/>
  <c r="G106" i="5"/>
  <c r="G93" i="5"/>
  <c r="G125" i="5"/>
  <c r="G82" i="5"/>
  <c r="G123" i="5"/>
  <c r="G120" i="5"/>
  <c r="G116" i="5"/>
  <c r="G11" i="5"/>
  <c r="G87" i="5"/>
  <c r="G131" i="5"/>
  <c r="G114" i="5"/>
  <c r="G104" i="5"/>
  <c r="G72" i="5"/>
  <c r="G118" i="5"/>
  <c r="G130" i="5"/>
  <c r="G124" i="5"/>
  <c r="G107" i="5"/>
  <c r="G121" i="5"/>
  <c r="G96" i="5"/>
  <c r="G88" i="5"/>
  <c r="G128" i="5"/>
  <c r="G135" i="5"/>
  <c r="G108" i="5"/>
  <c r="G90" i="5"/>
  <c r="M8" i="5"/>
  <c r="M61" i="5"/>
  <c r="M65" i="5"/>
  <c r="M56" i="5"/>
  <c r="M62" i="5"/>
  <c r="M52" i="5"/>
  <c r="M11" i="5"/>
  <c r="M69" i="5"/>
  <c r="M12" i="5"/>
  <c r="M6" i="5"/>
  <c r="M70" i="5"/>
  <c r="M55" i="5"/>
  <c r="M9" i="5"/>
  <c r="M51" i="5"/>
  <c r="M57" i="5"/>
  <c r="M63" i="5"/>
  <c r="M13" i="5"/>
  <c r="M14" i="5"/>
  <c r="M53" i="5"/>
  <c r="M10" i="5"/>
  <c r="M64" i="5"/>
  <c r="M16" i="5"/>
  <c r="M67" i="5"/>
  <c r="M58" i="5"/>
  <c r="M15" i="5"/>
  <c r="M60" i="5"/>
  <c r="M68" i="5"/>
  <c r="D4" i="5"/>
  <c r="M5" i="5"/>
  <c r="M66" i="5"/>
  <c r="M54" i="5"/>
  <c r="M7" i="5"/>
  <c r="M59" i="5"/>
  <c r="P16" i="5"/>
  <c r="P63" i="5"/>
  <c r="P60" i="5"/>
  <c r="P59" i="5"/>
  <c r="P54" i="5"/>
  <c r="P11" i="5"/>
  <c r="P9" i="5"/>
  <c r="P17" i="5"/>
  <c r="P65" i="5"/>
  <c r="P70" i="5"/>
  <c r="E4" i="5"/>
  <c r="P15" i="5"/>
  <c r="P13" i="5"/>
  <c r="P12" i="5"/>
  <c r="P66" i="5"/>
  <c r="P21" i="5"/>
  <c r="P53" i="5"/>
  <c r="P67" i="5"/>
  <c r="P55" i="5"/>
  <c r="P10" i="5"/>
  <c r="P61" i="5"/>
  <c r="P7" i="5"/>
  <c r="P69" i="5"/>
  <c r="P6" i="5"/>
  <c r="P56" i="5"/>
  <c r="P22" i="5"/>
  <c r="P8" i="5"/>
  <c r="P20" i="5"/>
  <c r="P68" i="5"/>
  <c r="P18" i="5"/>
  <c r="P57" i="5"/>
  <c r="P19" i="5"/>
  <c r="P64" i="5"/>
  <c r="P58" i="5"/>
  <c r="P14" i="5"/>
  <c r="P5" i="5"/>
  <c r="P62" i="5"/>
  <c r="E4" i="4"/>
  <c r="C4" i="4"/>
  <c r="A49" i="4"/>
  <c r="A45" i="4"/>
  <c r="A37" i="4"/>
  <c r="A48" i="4"/>
  <c r="A40" i="4"/>
  <c r="A42" i="4"/>
  <c r="A32" i="4"/>
  <c r="A43" i="4"/>
  <c r="A38" i="4"/>
  <c r="A39" i="4"/>
  <c r="A47" i="4"/>
  <c r="A31" i="4"/>
  <c r="A50" i="4"/>
  <c r="A46" i="4"/>
  <c r="A41" i="4"/>
  <c r="A44" i="4"/>
  <c r="A35" i="4"/>
  <c r="A36" i="4"/>
  <c r="A33" i="4"/>
  <c r="A34" i="4"/>
  <c r="B4" i="4"/>
  <c r="O51" i="4"/>
  <c r="D4" i="4"/>
  <c r="N52" i="4"/>
  <c r="C84" i="4"/>
  <c r="N40" i="4"/>
  <c r="D86" i="4"/>
  <c r="E85" i="4"/>
  <c r="C120" i="4"/>
  <c r="E97" i="4"/>
  <c r="B72" i="4"/>
  <c r="D71" i="4"/>
  <c r="N62" i="4"/>
  <c r="D113" i="4"/>
  <c r="N61" i="4"/>
  <c r="C75" i="4"/>
  <c r="B80" i="4"/>
  <c r="E120" i="4"/>
  <c r="B119" i="4"/>
  <c r="B95" i="4"/>
  <c r="E100" i="4"/>
  <c r="C86" i="4"/>
  <c r="C130" i="4"/>
  <c r="E89" i="4"/>
  <c r="E110" i="4"/>
  <c r="C95" i="4"/>
  <c r="E90" i="4"/>
  <c r="N54" i="4"/>
  <c r="C119" i="4"/>
  <c r="E130" i="4"/>
  <c r="B132" i="4"/>
  <c r="B89" i="4"/>
  <c r="N67" i="4"/>
  <c r="C76" i="4"/>
  <c r="D104" i="4"/>
  <c r="C124" i="4"/>
  <c r="B74" i="4"/>
  <c r="B112" i="4"/>
  <c r="E132" i="4"/>
  <c r="N35" i="4"/>
  <c r="N55" i="4"/>
  <c r="B71" i="4"/>
  <c r="D105" i="4"/>
  <c r="C109" i="4"/>
  <c r="D118" i="4"/>
  <c r="C127" i="4"/>
  <c r="C106" i="4"/>
  <c r="D116" i="4"/>
  <c r="C78" i="4"/>
  <c r="B83" i="4"/>
  <c r="B136" i="4"/>
  <c r="D83" i="4"/>
  <c r="B99" i="4"/>
  <c r="E128" i="4"/>
  <c r="B101" i="4"/>
  <c r="E115" i="4"/>
  <c r="B130" i="4"/>
  <c r="E105" i="4"/>
  <c r="B90" i="4"/>
  <c r="E82" i="4"/>
  <c r="D122" i="4"/>
  <c r="D121" i="4"/>
  <c r="N47" i="4"/>
  <c r="D75" i="4"/>
  <c r="B124" i="4"/>
  <c r="N31" i="4"/>
  <c r="B79" i="4"/>
  <c r="D80" i="4"/>
  <c r="B110" i="4"/>
  <c r="A24" i="4"/>
  <c r="C115" i="4"/>
  <c r="N60" i="4"/>
  <c r="C101" i="4"/>
  <c r="B81" i="4"/>
  <c r="C96" i="4"/>
  <c r="B102" i="4"/>
  <c r="N49" i="4"/>
  <c r="E131" i="4"/>
  <c r="E133" i="4"/>
  <c r="B106" i="4"/>
  <c r="E117" i="4"/>
  <c r="D127" i="4"/>
  <c r="B121" i="4"/>
  <c r="E106" i="4"/>
  <c r="B109" i="4"/>
  <c r="D99" i="4"/>
  <c r="B115" i="4"/>
  <c r="E113" i="4"/>
  <c r="C91" i="4"/>
  <c r="D87" i="4"/>
  <c r="C77" i="4"/>
  <c r="B128" i="4"/>
  <c r="D129" i="4"/>
  <c r="N65" i="4"/>
  <c r="E109" i="4"/>
  <c r="C112" i="4"/>
  <c r="E99" i="4"/>
  <c r="B114" i="4"/>
  <c r="E96" i="4"/>
  <c r="N43" i="4"/>
  <c r="N51" i="4"/>
  <c r="B97" i="4"/>
  <c r="E75" i="4"/>
  <c r="C129" i="4"/>
  <c r="B111" i="4"/>
  <c r="C123" i="4"/>
  <c r="C110" i="4"/>
  <c r="C105" i="4"/>
  <c r="E121" i="4"/>
  <c r="D98" i="4"/>
  <c r="N34" i="4"/>
  <c r="E80" i="4"/>
  <c r="E83" i="4"/>
  <c r="N39" i="4"/>
  <c r="D89" i="4"/>
  <c r="D90" i="4"/>
  <c r="E114" i="4"/>
  <c r="C80" i="4"/>
  <c r="E94" i="4"/>
  <c r="C82" i="4"/>
  <c r="C134" i="4"/>
  <c r="B120" i="4"/>
  <c r="E86" i="4"/>
  <c r="E118" i="4"/>
  <c r="N56" i="4"/>
  <c r="C93" i="4"/>
  <c r="C98" i="4"/>
  <c r="V80" i="1"/>
  <c r="B77" i="4"/>
  <c r="C99" i="4"/>
  <c r="E98" i="4"/>
  <c r="E119" i="4"/>
  <c r="C116" i="4"/>
  <c r="E108" i="4"/>
  <c r="N64" i="4"/>
  <c r="D102" i="4"/>
  <c r="E135" i="4"/>
  <c r="D117" i="4"/>
  <c r="D133" i="4"/>
  <c r="E136" i="4"/>
  <c r="E104" i="4"/>
  <c r="N36" i="4"/>
  <c r="C79" i="4"/>
  <c r="E124" i="4"/>
  <c r="E79" i="4"/>
  <c r="N37" i="4"/>
  <c r="B82" i="4"/>
  <c r="E122" i="4"/>
  <c r="B129" i="4"/>
  <c r="D82" i="4"/>
  <c r="C73" i="4"/>
  <c r="C88" i="4"/>
  <c r="B88" i="4"/>
  <c r="D100" i="4"/>
  <c r="N32" i="4"/>
  <c r="D84" i="4"/>
  <c r="C74" i="4"/>
  <c r="B127" i="4"/>
  <c r="B135" i="4"/>
  <c r="B84" i="4"/>
  <c r="D92" i="4"/>
  <c r="N66" i="4"/>
  <c r="N45" i="4"/>
  <c r="E84" i="4"/>
  <c r="C126" i="4"/>
  <c r="B105" i="4"/>
  <c r="C132" i="4"/>
  <c r="N46" i="4"/>
  <c r="E87" i="4"/>
  <c r="B131" i="4"/>
  <c r="D101" i="4"/>
  <c r="E126" i="4"/>
  <c r="D124" i="4"/>
  <c r="N70" i="4"/>
  <c r="N69" i="4"/>
  <c r="B126" i="4"/>
  <c r="C117" i="4"/>
  <c r="E88" i="4"/>
  <c r="N41" i="4"/>
  <c r="C136" i="4"/>
  <c r="N68" i="4"/>
  <c r="D96" i="4"/>
  <c r="D134" i="4"/>
  <c r="B78" i="4"/>
  <c r="N48" i="4"/>
  <c r="B118" i="4"/>
  <c r="N57" i="4"/>
  <c r="N59" i="4"/>
  <c r="N50" i="4"/>
  <c r="C121" i="4"/>
  <c r="E101" i="4"/>
  <c r="B100" i="4"/>
  <c r="D73" i="4"/>
  <c r="B86" i="4"/>
  <c r="D136" i="4"/>
  <c r="B116" i="4"/>
  <c r="C128" i="4"/>
  <c r="N63" i="4"/>
  <c r="B108" i="4"/>
  <c r="E92" i="4"/>
  <c r="D106" i="4"/>
  <c r="E123" i="4"/>
  <c r="D135" i="4"/>
  <c r="N53" i="4"/>
  <c r="E93" i="4"/>
  <c r="D125" i="4"/>
  <c r="E91" i="4"/>
  <c r="N44" i="4"/>
  <c r="E107" i="4"/>
  <c r="B92" i="4"/>
  <c r="B117" i="4"/>
  <c r="E116" i="4"/>
  <c r="B123" i="4"/>
  <c r="C92" i="4"/>
  <c r="D91" i="4"/>
  <c r="C113" i="4"/>
  <c r="D128" i="4"/>
  <c r="D123" i="4"/>
  <c r="C89" i="4"/>
  <c r="B103" i="4"/>
  <c r="D119" i="4"/>
  <c r="C100" i="4"/>
  <c r="B73" i="4"/>
  <c r="C72" i="4"/>
  <c r="C71" i="4"/>
  <c r="E125" i="4"/>
  <c r="D115" i="4"/>
  <c r="D110" i="4"/>
  <c r="D93" i="4"/>
  <c r="B87" i="4"/>
  <c r="D85" i="4"/>
  <c r="N58" i="4"/>
  <c r="C114" i="4"/>
  <c r="E127" i="4"/>
  <c r="B122" i="4"/>
  <c r="D77" i="4"/>
  <c r="D109" i="4"/>
  <c r="N42" i="4"/>
  <c r="C85" i="4"/>
  <c r="D107" i="4"/>
  <c r="B96" i="4"/>
  <c r="C87" i="4"/>
  <c r="C108" i="4"/>
  <c r="D112" i="4"/>
  <c r="D94" i="4"/>
  <c r="D88" i="4"/>
  <c r="C131" i="4"/>
  <c r="B134" i="4"/>
  <c r="B98" i="4"/>
  <c r="E95" i="4"/>
  <c r="B76" i="4"/>
  <c r="E111" i="4"/>
  <c r="D120" i="4"/>
  <c r="C107" i="4"/>
  <c r="C111" i="4"/>
  <c r="D108" i="4"/>
  <c r="N33" i="4"/>
  <c r="D130" i="4"/>
  <c r="E103" i="4"/>
  <c r="B113" i="4"/>
  <c r="D131" i="4"/>
  <c r="D97" i="4"/>
  <c r="B93" i="4"/>
  <c r="D126" i="4"/>
  <c r="C97" i="4"/>
  <c r="D81" i="4"/>
  <c r="C83" i="4"/>
  <c r="C94" i="4"/>
  <c r="B133" i="4"/>
  <c r="C104" i="4"/>
  <c r="B125" i="4"/>
  <c r="C81" i="4"/>
  <c r="C102" i="4"/>
  <c r="B85" i="4"/>
  <c r="C125" i="4"/>
  <c r="C122" i="4"/>
  <c r="D132" i="4"/>
  <c r="C103" i="4"/>
  <c r="C135" i="4"/>
  <c r="B94" i="4"/>
  <c r="E81" i="4"/>
  <c r="B104" i="4"/>
  <c r="C133" i="4"/>
  <c r="B75" i="4"/>
  <c r="C90" i="4"/>
  <c r="D111" i="4"/>
  <c r="B91" i="4"/>
  <c r="E102" i="4"/>
  <c r="E112" i="4"/>
  <c r="E129" i="4"/>
  <c r="C118" i="4"/>
  <c r="D103" i="4"/>
  <c r="E71" i="4"/>
  <c r="N38" i="4"/>
  <c r="D95" i="4"/>
  <c r="D79" i="4"/>
  <c r="E134" i="4"/>
  <c r="B107" i="4"/>
  <c r="D114" i="4"/>
  <c r="AD5" i="5"/>
  <c r="A24" i="1" l="1"/>
  <c r="A24" i="5" s="1"/>
  <c r="A43" i="1"/>
  <c r="A43" i="5" s="1"/>
  <c r="J43" i="5" s="1"/>
  <c r="A32" i="1"/>
  <c r="A32" i="5" s="1"/>
  <c r="A38" i="1"/>
  <c r="A38" i="5" s="1"/>
  <c r="A46" i="1"/>
  <c r="A46" i="5" s="1"/>
  <c r="J46" i="5" s="1"/>
  <c r="A50" i="1"/>
  <c r="A50" i="5" s="1"/>
  <c r="J50" i="5" s="1"/>
  <c r="A31" i="1"/>
  <c r="A31" i="5" s="1"/>
  <c r="A42" i="1"/>
  <c r="A42" i="5" s="1"/>
  <c r="A47" i="1"/>
  <c r="A47" i="5" s="1"/>
  <c r="J47" i="5" s="1"/>
  <c r="A39" i="1"/>
  <c r="A39" i="5" s="1"/>
  <c r="A40" i="1"/>
  <c r="A40" i="5" s="1"/>
  <c r="A34" i="1"/>
  <c r="A34" i="5" s="1"/>
  <c r="A48" i="1"/>
  <c r="A48" i="5" s="1"/>
  <c r="J48" i="5" s="1"/>
  <c r="A33" i="1"/>
  <c r="A33" i="5" s="1"/>
  <c r="A37" i="1"/>
  <c r="A37" i="5" s="1"/>
  <c r="A36" i="1"/>
  <c r="A36" i="5" s="1"/>
  <c r="A45" i="1"/>
  <c r="A45" i="5" s="1"/>
  <c r="J45" i="5" s="1"/>
  <c r="A35" i="1"/>
  <c r="A35" i="5" s="1"/>
  <c r="A49" i="1"/>
  <c r="A49" i="5" s="1"/>
  <c r="J49" i="5" s="1"/>
  <c r="A44" i="1"/>
  <c r="A44" i="5" s="1"/>
  <c r="J44" i="5" s="1"/>
  <c r="A41" i="1"/>
  <c r="A41" i="5" s="1"/>
  <c r="J48" i="4"/>
  <c r="J64" i="4"/>
  <c r="A23" i="4"/>
  <c r="I24" i="4"/>
  <c r="V81" i="1"/>
  <c r="J62" i="4"/>
  <c r="J53" i="4"/>
  <c r="J66" i="4"/>
  <c r="J36" i="4"/>
  <c r="J60" i="4"/>
  <c r="J50" i="4"/>
  <c r="J49" i="4"/>
  <c r="J59" i="4"/>
  <c r="J34" i="4"/>
  <c r="J52" i="4"/>
  <c r="J67" i="4"/>
  <c r="J56" i="4"/>
  <c r="J39" i="4"/>
  <c r="A25" i="4"/>
  <c r="J35" i="4"/>
  <c r="J57" i="4"/>
  <c r="J43" i="4"/>
  <c r="J41" i="4"/>
  <c r="J63" i="4"/>
  <c r="J68" i="4"/>
  <c r="J44" i="4"/>
  <c r="J38" i="4"/>
  <c r="J32" i="4"/>
  <c r="J45" i="4"/>
  <c r="J47" i="4"/>
  <c r="J42" i="4"/>
  <c r="J46" i="4"/>
  <c r="J40" i="4"/>
  <c r="J55" i="4"/>
  <c r="J61" i="4"/>
  <c r="J33" i="4"/>
  <c r="J69" i="4"/>
  <c r="J58" i="4"/>
  <c r="J37" i="4"/>
  <c r="J51" i="4"/>
  <c r="J54" i="4"/>
  <c r="J31" i="4"/>
  <c r="J65" i="4"/>
  <c r="J70" i="4"/>
  <c r="A23" i="1" l="1"/>
  <c r="A23" i="5" s="1"/>
  <c r="J23" i="5" s="1"/>
  <c r="A25" i="1"/>
  <c r="A25" i="5" s="1"/>
  <c r="J25" i="5" s="1"/>
  <c r="J36" i="5"/>
  <c r="G36" i="5"/>
  <c r="J38" i="5"/>
  <c r="G38" i="5"/>
  <c r="G37" i="5"/>
  <c r="J37" i="5"/>
  <c r="M33" i="5"/>
  <c r="J33" i="5"/>
  <c r="G33" i="5"/>
  <c r="J32" i="5"/>
  <c r="G32" i="5"/>
  <c r="M32" i="5"/>
  <c r="J34" i="5"/>
  <c r="M34" i="5"/>
  <c r="G34" i="5"/>
  <c r="M24" i="5"/>
  <c r="G24" i="5"/>
  <c r="J24" i="5"/>
  <c r="G31" i="5"/>
  <c r="J31" i="5"/>
  <c r="M31" i="5"/>
  <c r="J42" i="5"/>
  <c r="G42" i="5"/>
  <c r="J41" i="5"/>
  <c r="G41" i="5"/>
  <c r="G35" i="5"/>
  <c r="J35" i="5"/>
  <c r="G40" i="5"/>
  <c r="J40" i="5"/>
  <c r="G39" i="5"/>
  <c r="J39" i="5"/>
  <c r="I25" i="4"/>
  <c r="I23" i="4"/>
  <c r="A26" i="4"/>
  <c r="I26" i="4"/>
  <c r="A26" i="1" l="1"/>
  <c r="A26" i="5" s="1"/>
  <c r="G26" i="5" s="1"/>
  <c r="M25" i="5"/>
  <c r="G23" i="5"/>
  <c r="M23" i="5"/>
  <c r="G25" i="5"/>
  <c r="A28" i="4"/>
  <c r="A27" i="4" s="1"/>
  <c r="A29" i="4"/>
  <c r="J26" i="5" l="1"/>
  <c r="M26" i="5"/>
  <c r="A29" i="1"/>
  <c r="A29" i="5" s="1"/>
  <c r="M29" i="5" s="1"/>
  <c r="A27" i="1"/>
  <c r="A27" i="5" s="1"/>
  <c r="G27" i="5" s="1"/>
  <c r="A28" i="1"/>
  <c r="A28" i="5" s="1"/>
  <c r="J28" i="5" s="1"/>
  <c r="I29" i="4"/>
  <c r="I27" i="4"/>
  <c r="A30" i="4"/>
  <c r="I28" i="4"/>
  <c r="M27" i="5" l="1"/>
  <c r="J27" i="5"/>
  <c r="M28" i="5"/>
  <c r="G28" i="5"/>
  <c r="A30" i="1"/>
  <c r="A30" i="5" s="1"/>
  <c r="G29" i="5"/>
  <c r="J29" i="5"/>
  <c r="I30" i="4"/>
  <c r="G30" i="5" l="1"/>
  <c r="J30" i="5"/>
  <c r="M30" i="5"/>
  <c r="X5" i="5"/>
  <c r="AA5" i="5"/>
  <c r="U5" i="5"/>
  <c r="D16" i="2" l="1"/>
  <c r="E70" i="1"/>
  <c r="B122" i="1"/>
  <c r="E132" i="1"/>
  <c r="E83" i="1"/>
  <c r="C57" i="1"/>
  <c r="D101" i="1"/>
  <c r="E128" i="1"/>
  <c r="C7" i="1"/>
  <c r="E22" i="1"/>
  <c r="C87" i="1"/>
  <c r="D79" i="1"/>
  <c r="B135" i="1"/>
  <c r="D131" i="1"/>
  <c r="D56" i="1"/>
  <c r="B109" i="1"/>
  <c r="D9" i="1"/>
  <c r="C11" i="1"/>
  <c r="D110" i="1"/>
  <c r="B78" i="1"/>
  <c r="C113" i="1"/>
  <c r="B121" i="1"/>
  <c r="E91" i="1"/>
  <c r="D81" i="1"/>
  <c r="C118" i="1"/>
  <c r="C47" i="1"/>
  <c r="E60" i="1"/>
  <c r="C115" i="1"/>
  <c r="B11" i="1"/>
  <c r="C85" i="1"/>
  <c r="E96" i="1"/>
  <c r="E55" i="1"/>
  <c r="E95" i="1"/>
  <c r="B17" i="1"/>
  <c r="E65" i="1"/>
  <c r="E11" i="1"/>
  <c r="D115" i="1"/>
  <c r="B131" i="1"/>
  <c r="C108" i="1"/>
  <c r="D77" i="1"/>
  <c r="E129" i="1"/>
  <c r="B81" i="1"/>
  <c r="C95" i="1"/>
  <c r="C43" i="1"/>
  <c r="D54" i="1"/>
  <c r="B105" i="1"/>
  <c r="D52" i="1"/>
  <c r="E21" i="1"/>
  <c r="D67" i="1"/>
  <c r="B74" i="1"/>
  <c r="E131" i="1"/>
  <c r="B19" i="1"/>
  <c r="E16" i="1"/>
  <c r="C103" i="1"/>
  <c r="E114" i="1"/>
  <c r="E126" i="1"/>
  <c r="D91" i="1"/>
  <c r="B28" i="1"/>
  <c r="E107" i="1"/>
  <c r="E66" i="1"/>
  <c r="C77" i="1"/>
  <c r="C82" i="1"/>
  <c r="D116" i="1"/>
  <c r="E116" i="1"/>
  <c r="B116" i="1"/>
  <c r="D34" i="1"/>
  <c r="B18" i="1"/>
  <c r="D60" i="1"/>
  <c r="C37" i="1"/>
  <c r="E64" i="1"/>
  <c r="C26" i="1"/>
  <c r="B14" i="1"/>
  <c r="C128" i="1"/>
  <c r="E87" i="1"/>
  <c r="C13" i="1"/>
  <c r="E135" i="1"/>
  <c r="B129" i="1"/>
  <c r="B112" i="1"/>
  <c r="E63" i="1"/>
  <c r="B73" i="1"/>
  <c r="E136" i="1"/>
  <c r="D86" i="1"/>
  <c r="D117" i="1"/>
  <c r="E14" i="1"/>
  <c r="C79" i="1"/>
  <c r="B119" i="1"/>
  <c r="C74" i="1"/>
  <c r="C46" i="1"/>
  <c r="B86" i="1"/>
  <c r="E90" i="1"/>
  <c r="B96" i="1"/>
  <c r="C53" i="1"/>
  <c r="E53" i="1"/>
  <c r="C25" i="1"/>
  <c r="B97" i="1"/>
  <c r="D90" i="1"/>
  <c r="B124" i="1"/>
  <c r="C24" i="1"/>
  <c r="C109" i="1"/>
  <c r="C81" i="1"/>
  <c r="B118" i="1"/>
  <c r="E18" i="1"/>
  <c r="E12" i="1"/>
  <c r="D80" i="1"/>
  <c r="E108" i="1"/>
  <c r="D100" i="1"/>
  <c r="C27" i="1"/>
  <c r="B34" i="1"/>
  <c r="B38" i="1"/>
  <c r="E93" i="1"/>
  <c r="C34" i="1"/>
  <c r="E103" i="1"/>
  <c r="E8" i="1"/>
  <c r="B103" i="1"/>
  <c r="D106" i="1"/>
  <c r="B25" i="1"/>
  <c r="C23" i="1"/>
  <c r="E124" i="1"/>
  <c r="C71" i="1"/>
  <c r="C49" i="1"/>
  <c r="E57" i="1"/>
  <c r="D13" i="1"/>
  <c r="B100" i="1"/>
  <c r="B13" i="1"/>
  <c r="C55" i="1"/>
  <c r="D51" i="1"/>
  <c r="B71" i="1"/>
  <c r="B41" i="1"/>
  <c r="B85" i="1"/>
  <c r="E92" i="1"/>
  <c r="D112" i="1"/>
  <c r="B89" i="1"/>
  <c r="E56" i="1"/>
  <c r="C121" i="1"/>
  <c r="D24" i="1"/>
  <c r="E19" i="1"/>
  <c r="D118" i="1"/>
  <c r="B72" i="1"/>
  <c r="B136" i="1"/>
  <c r="B130" i="1"/>
  <c r="C89" i="1"/>
  <c r="D94" i="1"/>
  <c r="D73" i="1"/>
  <c r="B10" i="1"/>
  <c r="B104" i="1"/>
  <c r="C132" i="1"/>
  <c r="B16" i="1"/>
  <c r="D55" i="1"/>
  <c r="C114" i="1"/>
  <c r="B20" i="1"/>
  <c r="C31" i="1"/>
  <c r="E102" i="1"/>
  <c r="E71" i="1"/>
  <c r="B79" i="1"/>
  <c r="B12" i="1"/>
  <c r="E123" i="1"/>
  <c r="C48" i="1"/>
  <c r="E62" i="1"/>
  <c r="B42" i="1"/>
  <c r="B27" i="1"/>
  <c r="E80" i="1"/>
  <c r="D85" i="1"/>
  <c r="C119" i="1"/>
  <c r="C104" i="1"/>
  <c r="E17" i="1"/>
  <c r="B31" i="1"/>
  <c r="C92" i="1"/>
  <c r="C58" i="1"/>
  <c r="D59" i="1"/>
  <c r="B75" i="1"/>
  <c r="C120" i="1"/>
  <c r="B87" i="1"/>
  <c r="C122" i="1"/>
  <c r="E110" i="1"/>
  <c r="E98" i="1"/>
  <c r="C33" i="1"/>
  <c r="C44" i="1"/>
  <c r="C97" i="1"/>
  <c r="B106" i="1"/>
  <c r="E59" i="1"/>
  <c r="C38" i="1"/>
  <c r="D10" i="1"/>
  <c r="C111" i="1"/>
  <c r="B134" i="1"/>
  <c r="C117" i="1"/>
  <c r="D15" i="1"/>
  <c r="D70" i="1"/>
  <c r="B80" i="1"/>
  <c r="C101" i="1"/>
  <c r="C112" i="1"/>
  <c r="D11" i="1"/>
  <c r="D29" i="1"/>
  <c r="B114" i="1"/>
  <c r="B37" i="1"/>
  <c r="E84" i="1"/>
  <c r="B128" i="1"/>
  <c r="B40" i="1"/>
  <c r="E106" i="1"/>
  <c r="E69" i="1"/>
  <c r="C125" i="1"/>
  <c r="D26" i="1"/>
  <c r="E94" i="1"/>
  <c r="E88" i="1"/>
  <c r="B94" i="1"/>
  <c r="D14" i="1"/>
  <c r="E15" i="1"/>
  <c r="B35" i="1"/>
  <c r="B107" i="1"/>
  <c r="D102" i="1"/>
  <c r="C110" i="1"/>
  <c r="B132" i="1"/>
  <c r="B92" i="1"/>
  <c r="B82" i="1"/>
  <c r="C10" i="1"/>
  <c r="C52" i="1"/>
  <c r="E82" i="1"/>
  <c r="C9" i="1"/>
  <c r="D103" i="1"/>
  <c r="D108" i="1"/>
  <c r="E79" i="1"/>
  <c r="D62" i="1"/>
  <c r="C102" i="1"/>
  <c r="C72" i="1"/>
  <c r="E112" i="1"/>
  <c r="D27" i="1"/>
  <c r="C76" i="1"/>
  <c r="D125" i="1"/>
  <c r="D95" i="1"/>
  <c r="D121" i="1"/>
  <c r="D65" i="1"/>
  <c r="D89" i="1"/>
  <c r="D107" i="1"/>
  <c r="E97" i="1"/>
  <c r="C30" i="1"/>
  <c r="C32" i="1"/>
  <c r="D66" i="1"/>
  <c r="B84" i="1"/>
  <c r="C39" i="1"/>
  <c r="C107" i="1"/>
  <c r="B95" i="1"/>
  <c r="D111" i="1"/>
  <c r="C105" i="1"/>
  <c r="E127" i="1"/>
  <c r="C8" i="1"/>
  <c r="D98" i="1"/>
  <c r="E111" i="1"/>
  <c r="D99" i="1"/>
  <c r="E109" i="1"/>
  <c r="C90" i="1"/>
  <c r="D25" i="1"/>
  <c r="E61" i="1"/>
  <c r="E130" i="1"/>
  <c r="C131" i="1"/>
  <c r="C100" i="1"/>
  <c r="E118" i="1"/>
  <c r="D68" i="1"/>
  <c r="D23" i="1"/>
  <c r="C51" i="1"/>
  <c r="D134" i="1"/>
  <c r="C130" i="1"/>
  <c r="E133" i="1"/>
  <c r="C116" i="1"/>
  <c r="E13" i="1"/>
  <c r="B33" i="1"/>
  <c r="B32" i="1"/>
  <c r="B22" i="1"/>
  <c r="B117" i="1"/>
  <c r="C99" i="1"/>
  <c r="B113" i="1"/>
  <c r="E81" i="1"/>
  <c r="D96" i="1"/>
  <c r="D84" i="1"/>
  <c r="E99" i="1"/>
  <c r="D132" i="1"/>
  <c r="D75" i="1"/>
  <c r="D61" i="1"/>
  <c r="D122" i="1"/>
  <c r="B77" i="1"/>
  <c r="D109" i="1"/>
  <c r="D83" i="1"/>
  <c r="C88" i="1"/>
  <c r="D32" i="1"/>
  <c r="D114" i="1"/>
  <c r="C133" i="1"/>
  <c r="D113" i="1"/>
  <c r="E67" i="1"/>
  <c r="D133" i="1"/>
  <c r="D16" i="1"/>
  <c r="C80" i="1"/>
  <c r="C134" i="1"/>
  <c r="B125" i="1"/>
  <c r="D8" i="1"/>
  <c r="C91" i="1"/>
  <c r="D93" i="1"/>
  <c r="C12" i="1"/>
  <c r="D12" i="1"/>
  <c r="C135" i="1"/>
  <c r="D126" i="1"/>
  <c r="E7" i="1"/>
  <c r="D104" i="1"/>
  <c r="B21" i="1"/>
  <c r="E58" i="1"/>
  <c r="C54" i="1"/>
  <c r="E104" i="1"/>
  <c r="C29" i="1"/>
  <c r="D30" i="1"/>
  <c r="C56" i="1"/>
  <c r="C73" i="1"/>
  <c r="C126" i="1"/>
  <c r="D69" i="1"/>
  <c r="C124" i="1"/>
  <c r="C86" i="1"/>
  <c r="C93" i="1"/>
  <c r="E125" i="1"/>
  <c r="D92" i="1"/>
  <c r="E20" i="1"/>
  <c r="B7" i="1"/>
  <c r="B93" i="1"/>
  <c r="B91" i="1"/>
  <c r="D57" i="1"/>
  <c r="C42" i="1"/>
  <c r="B126" i="1"/>
  <c r="C129" i="1"/>
  <c r="C123" i="1"/>
  <c r="D31" i="1"/>
  <c r="B23" i="1"/>
  <c r="E68" i="1"/>
  <c r="C50" i="1"/>
  <c r="B101" i="1"/>
  <c r="C45" i="1"/>
  <c r="D105" i="1"/>
  <c r="E119" i="1"/>
  <c r="D130" i="1"/>
  <c r="E75" i="1"/>
  <c r="B98" i="1"/>
  <c r="C78" i="1"/>
  <c r="D136" i="1"/>
  <c r="B76" i="1"/>
  <c r="C83" i="1"/>
  <c r="E85" i="1"/>
  <c r="B90" i="1"/>
  <c r="E10" i="1"/>
  <c r="E54" i="1"/>
  <c r="E113" i="1"/>
  <c r="D128" i="1"/>
  <c r="D124" i="1"/>
  <c r="C84" i="1"/>
  <c r="B108" i="1"/>
  <c r="D33" i="1"/>
  <c r="D123" i="1"/>
  <c r="D53" i="1"/>
  <c r="C28" i="1"/>
  <c r="D129" i="1"/>
  <c r="D7" i="1"/>
  <c r="E120" i="1"/>
  <c r="D28" i="1"/>
  <c r="C35" i="1"/>
  <c r="E9" i="1"/>
  <c r="E86" i="1"/>
  <c r="E89" i="1"/>
  <c r="C96" i="1"/>
  <c r="B110" i="1"/>
  <c r="C136" i="1"/>
  <c r="E105" i="1"/>
  <c r="D82" i="1"/>
  <c r="B24" i="1"/>
  <c r="D120" i="1"/>
  <c r="E134" i="1"/>
  <c r="E115" i="1"/>
  <c r="B39" i="1"/>
  <c r="C106" i="1"/>
  <c r="B127" i="1"/>
  <c r="C127" i="1"/>
  <c r="C36" i="1"/>
  <c r="E121" i="1"/>
  <c r="C98" i="1"/>
  <c r="D88" i="1"/>
  <c r="B88" i="1"/>
  <c r="D127" i="1"/>
  <c r="B123" i="1"/>
  <c r="D135" i="1"/>
  <c r="E117" i="1"/>
  <c r="B115" i="1"/>
  <c r="D119" i="1"/>
  <c r="B15" i="1"/>
  <c r="E101" i="1"/>
  <c r="B9" i="1"/>
  <c r="B120" i="1"/>
  <c r="C94" i="1"/>
  <c r="C41" i="1"/>
  <c r="B111" i="1"/>
  <c r="B36" i="1"/>
  <c r="B102" i="1"/>
  <c r="D63" i="1"/>
  <c r="D87" i="1"/>
  <c r="B8" i="1"/>
  <c r="B83" i="1"/>
  <c r="B99" i="1"/>
  <c r="C75" i="1"/>
  <c r="E100" i="1"/>
  <c r="D64" i="1"/>
  <c r="E122" i="1"/>
  <c r="D71" i="1"/>
  <c r="B30" i="1"/>
  <c r="C40" i="1"/>
  <c r="D58" i="1"/>
  <c r="B26" i="1"/>
  <c r="B133" i="1"/>
  <c r="D97" i="1"/>
  <c r="B29" i="1"/>
  <c r="H36" i="5" l="1"/>
  <c r="I36" i="5" s="1"/>
  <c r="H39" i="5"/>
  <c r="I39" i="5" s="1"/>
  <c r="H32" i="5"/>
  <c r="H33" i="5"/>
  <c r="I33" i="5" s="1"/>
  <c r="H35" i="5"/>
  <c r="H40" i="5"/>
  <c r="H37" i="5"/>
  <c r="H42" i="5"/>
  <c r="I42" i="5" s="1"/>
  <c r="H41" i="5"/>
  <c r="I41" i="5" s="1"/>
  <c r="H38" i="5"/>
  <c r="I38" i="5" s="1"/>
  <c r="H34" i="5"/>
  <c r="I34" i="5" s="1"/>
  <c r="H31" i="5"/>
  <c r="I31" i="5" s="1"/>
  <c r="H29" i="5"/>
  <c r="I29" i="5" s="1"/>
  <c r="G29" i="1"/>
  <c r="O97" i="5"/>
  <c r="Q97" i="1"/>
  <c r="I97" i="1"/>
  <c r="R97" i="1"/>
  <c r="N97" i="5"/>
  <c r="G133" i="1"/>
  <c r="H133" i="5"/>
  <c r="I133" i="5" s="1"/>
  <c r="G26" i="1"/>
  <c r="H26" i="5"/>
  <c r="I26" i="5" s="1"/>
  <c r="O58" i="5"/>
  <c r="N58" i="5"/>
  <c r="I58" i="1"/>
  <c r="K40" i="5"/>
  <c r="H40" i="1"/>
  <c r="L40" i="5"/>
  <c r="H30" i="5"/>
  <c r="I30" i="5" s="1"/>
  <c r="G30" i="1"/>
  <c r="Q71" i="1"/>
  <c r="N71" i="5"/>
  <c r="I71" i="1"/>
  <c r="R71" i="1"/>
  <c r="O71" i="5"/>
  <c r="S122" i="1"/>
  <c r="Q122" i="5"/>
  <c r="R122" i="5"/>
  <c r="J122" i="1"/>
  <c r="I64" i="1"/>
  <c r="O64" i="5"/>
  <c r="N64" i="5"/>
  <c r="S100" i="1"/>
  <c r="R100" i="5"/>
  <c r="Q100" i="5"/>
  <c r="J100" i="1"/>
  <c r="K75" i="5"/>
  <c r="L75" i="5"/>
  <c r="H75" i="1"/>
  <c r="H99" i="5"/>
  <c r="G99" i="1"/>
  <c r="H83" i="5"/>
  <c r="G83" i="1"/>
  <c r="H8" i="5"/>
  <c r="I8" i="5" s="1"/>
  <c r="AH8" i="5" s="1"/>
  <c r="G8" i="1"/>
  <c r="N87" i="5"/>
  <c r="Q87" i="1"/>
  <c r="R87" i="1"/>
  <c r="O87" i="5"/>
  <c r="I87" i="1"/>
  <c r="N63" i="5"/>
  <c r="I63" i="1"/>
  <c r="O63" i="5"/>
  <c r="G102" i="1"/>
  <c r="H102" i="5"/>
  <c r="G36" i="1"/>
  <c r="G111" i="1"/>
  <c r="H111" i="5"/>
  <c r="I111" i="5" s="1"/>
  <c r="AH111" i="5" s="1"/>
  <c r="K41" i="5"/>
  <c r="H41" i="1"/>
  <c r="L41" i="5"/>
  <c r="H94" i="1"/>
  <c r="L94" i="5"/>
  <c r="K94" i="5"/>
  <c r="H120" i="5"/>
  <c r="I120" i="5" s="1"/>
  <c r="G120" i="1"/>
  <c r="H9" i="5"/>
  <c r="I9" i="5" s="1"/>
  <c r="AH9" i="5" s="1"/>
  <c r="G9" i="1"/>
  <c r="S101" i="1"/>
  <c r="R101" i="5"/>
  <c r="Q101" i="5"/>
  <c r="J101" i="1"/>
  <c r="H15" i="5"/>
  <c r="I15" i="5" s="1"/>
  <c r="AH15" i="5" s="1"/>
  <c r="O119" i="5"/>
  <c r="I119" i="1"/>
  <c r="Q119" i="1"/>
  <c r="N119" i="5"/>
  <c r="R119" i="1"/>
  <c r="H115" i="5"/>
  <c r="I115" i="5" s="1"/>
  <c r="AH115" i="5" s="1"/>
  <c r="G115" i="1"/>
  <c r="J117" i="1"/>
  <c r="S117" i="1"/>
  <c r="Q117" i="5"/>
  <c r="R117" i="5"/>
  <c r="I135" i="1"/>
  <c r="R135" i="1"/>
  <c r="O135" i="5"/>
  <c r="Q135" i="1"/>
  <c r="N135" i="5"/>
  <c r="H123" i="5"/>
  <c r="I123" i="5" s="1"/>
  <c r="G123" i="1"/>
  <c r="O127" i="5"/>
  <c r="N127" i="5"/>
  <c r="I127" i="1"/>
  <c r="Q127" i="1"/>
  <c r="R127" i="1"/>
  <c r="H88" i="5"/>
  <c r="I88" i="5" s="1"/>
  <c r="AH88" i="5" s="1"/>
  <c r="G88" i="1"/>
  <c r="O88" i="5"/>
  <c r="Q88" i="1"/>
  <c r="N88" i="5"/>
  <c r="R88" i="1"/>
  <c r="I88" i="1"/>
  <c r="L98" i="5"/>
  <c r="K98" i="5"/>
  <c r="H98" i="1"/>
  <c r="Q121" i="5"/>
  <c r="J121" i="1"/>
  <c r="R121" i="5"/>
  <c r="S121" i="1"/>
  <c r="L36" i="5"/>
  <c r="K36" i="5"/>
  <c r="H36" i="1"/>
  <c r="H127" i="1"/>
  <c r="K127" i="5"/>
  <c r="L127" i="5"/>
  <c r="H127" i="5"/>
  <c r="I127" i="5" s="1"/>
  <c r="G127" i="1"/>
  <c r="L106" i="5"/>
  <c r="H106" i="1"/>
  <c r="K106" i="5"/>
  <c r="G39" i="1"/>
  <c r="Q115" i="5"/>
  <c r="J115" i="1"/>
  <c r="S115" i="1"/>
  <c r="R115" i="5"/>
  <c r="Q134" i="5"/>
  <c r="S134" i="1"/>
  <c r="J134" i="1"/>
  <c r="R134" i="5"/>
  <c r="N120" i="5"/>
  <c r="I120" i="1"/>
  <c r="Q120" i="1"/>
  <c r="R120" i="1"/>
  <c r="O120" i="5"/>
  <c r="H24" i="5"/>
  <c r="I24" i="5" s="1"/>
  <c r="G24" i="1"/>
  <c r="I82" i="1"/>
  <c r="R82" i="1"/>
  <c r="N82" i="5"/>
  <c r="Q82" i="1"/>
  <c r="O82" i="5"/>
  <c r="Q105" i="5"/>
  <c r="J105" i="1"/>
  <c r="R105" i="5"/>
  <c r="S105" i="1"/>
  <c r="L136" i="5"/>
  <c r="K136" i="5"/>
  <c r="H136" i="1"/>
  <c r="H110" i="5"/>
  <c r="G110" i="1"/>
  <c r="L96" i="5"/>
  <c r="K96" i="5"/>
  <c r="H96" i="1"/>
  <c r="S89" i="1"/>
  <c r="Q89" i="5"/>
  <c r="R89" i="5"/>
  <c r="J89" i="1"/>
  <c r="Q86" i="5"/>
  <c r="J86" i="1"/>
  <c r="R86" i="5"/>
  <c r="S86" i="1"/>
  <c r="J9" i="1"/>
  <c r="Q9" i="5"/>
  <c r="R9" i="5"/>
  <c r="K35" i="5"/>
  <c r="H35" i="1"/>
  <c r="L35" i="5"/>
  <c r="N28" i="5"/>
  <c r="O28" i="5"/>
  <c r="I28" i="1"/>
  <c r="J120" i="1"/>
  <c r="Q120" i="5"/>
  <c r="R120" i="5"/>
  <c r="S120" i="1"/>
  <c r="N7" i="5"/>
  <c r="I7" i="1"/>
  <c r="O7" i="5"/>
  <c r="R129" i="1"/>
  <c r="I129" i="1"/>
  <c r="O129" i="5"/>
  <c r="N129" i="5"/>
  <c r="Q129" i="1"/>
  <c r="K28" i="5"/>
  <c r="L28" i="5"/>
  <c r="H28" i="1"/>
  <c r="N53" i="5"/>
  <c r="O53" i="5"/>
  <c r="I53" i="1"/>
  <c r="Q123" i="1"/>
  <c r="O123" i="5"/>
  <c r="R123" i="1"/>
  <c r="N123" i="5"/>
  <c r="I123" i="1"/>
  <c r="N33" i="5"/>
  <c r="I33" i="1"/>
  <c r="O33" i="5"/>
  <c r="G108" i="1"/>
  <c r="H108" i="5"/>
  <c r="I108" i="5" s="1"/>
  <c r="AH108" i="5" s="1"/>
  <c r="L84" i="5"/>
  <c r="K84" i="5"/>
  <c r="H84" i="1"/>
  <c r="Q124" i="1"/>
  <c r="N124" i="5"/>
  <c r="O124" i="5"/>
  <c r="R124" i="1"/>
  <c r="I124" i="1"/>
  <c r="R128" i="1"/>
  <c r="Q128" i="1"/>
  <c r="N128" i="5"/>
  <c r="I128" i="1"/>
  <c r="O128" i="5"/>
  <c r="Q113" i="5"/>
  <c r="J113" i="1"/>
  <c r="R113" i="5"/>
  <c r="S113" i="1"/>
  <c r="Q54" i="5"/>
  <c r="J54" i="1"/>
  <c r="R54" i="5"/>
  <c r="R10" i="5"/>
  <c r="Q10" i="5"/>
  <c r="J10" i="1"/>
  <c r="G90" i="1"/>
  <c r="H90" i="5"/>
  <c r="R85" i="5"/>
  <c r="S85" i="1"/>
  <c r="J85" i="1"/>
  <c r="Q85" i="5"/>
  <c r="K83" i="5"/>
  <c r="L83" i="5"/>
  <c r="H83" i="1"/>
  <c r="H76" i="5"/>
  <c r="I76" i="5" s="1"/>
  <c r="AH76" i="5" s="1"/>
  <c r="G76" i="1"/>
  <c r="I136" i="1"/>
  <c r="Q136" i="1"/>
  <c r="O136" i="5"/>
  <c r="R136" i="1"/>
  <c r="N136" i="5"/>
  <c r="K78" i="5"/>
  <c r="L78" i="5"/>
  <c r="H78" i="1"/>
  <c r="H98" i="5"/>
  <c r="I98" i="5" s="1"/>
  <c r="AH98" i="5" s="1"/>
  <c r="G98" i="1"/>
  <c r="S75" i="1"/>
  <c r="J75" i="1"/>
  <c r="R75" i="5"/>
  <c r="Q75" i="5"/>
  <c r="O130" i="5"/>
  <c r="I130" i="1"/>
  <c r="N130" i="5"/>
  <c r="Q130" i="1"/>
  <c r="R130" i="1"/>
  <c r="Q119" i="5"/>
  <c r="J119" i="1"/>
  <c r="R119" i="5"/>
  <c r="S119" i="1"/>
  <c r="I105" i="1"/>
  <c r="Q105" i="1"/>
  <c r="R105" i="1"/>
  <c r="O105" i="5"/>
  <c r="N105" i="5"/>
  <c r="L45" i="5"/>
  <c r="K45" i="5"/>
  <c r="H45" i="1"/>
  <c r="H101" i="5"/>
  <c r="G101" i="1"/>
  <c r="K50" i="5"/>
  <c r="H50" i="1"/>
  <c r="L50" i="5"/>
  <c r="R68" i="5"/>
  <c r="Q68" i="5"/>
  <c r="J68" i="1"/>
  <c r="H23" i="5"/>
  <c r="I23" i="5" s="1"/>
  <c r="G23" i="1"/>
  <c r="I31" i="1"/>
  <c r="N31" i="5"/>
  <c r="O31" i="5"/>
  <c r="L123" i="5"/>
  <c r="K123" i="5"/>
  <c r="H123" i="1"/>
  <c r="H129" i="1"/>
  <c r="K129" i="5"/>
  <c r="L129" i="5"/>
  <c r="G126" i="1"/>
  <c r="H126" i="5"/>
  <c r="L42" i="5"/>
  <c r="H42" i="1"/>
  <c r="K42" i="5"/>
  <c r="N57" i="5"/>
  <c r="O57" i="5"/>
  <c r="I57" i="1"/>
  <c r="G91" i="1"/>
  <c r="H91" i="5"/>
  <c r="G93" i="1"/>
  <c r="H93" i="5"/>
  <c r="I93" i="5" s="1"/>
  <c r="AH93" i="5" s="1"/>
  <c r="H7" i="5"/>
  <c r="G7" i="1"/>
  <c r="Q20" i="5"/>
  <c r="J20" i="1"/>
  <c r="R20" i="5"/>
  <c r="R92" i="1"/>
  <c r="N92" i="5"/>
  <c r="I92" i="1"/>
  <c r="O92" i="5"/>
  <c r="Q92" i="1"/>
  <c r="J125" i="1"/>
  <c r="Q125" i="5"/>
  <c r="S125" i="1"/>
  <c r="R125" i="5"/>
  <c r="H93" i="1"/>
  <c r="L93" i="5"/>
  <c r="K93" i="5"/>
  <c r="L86" i="5"/>
  <c r="K86" i="5"/>
  <c r="H86" i="1"/>
  <c r="K124" i="5"/>
  <c r="L124" i="5"/>
  <c r="H124" i="1"/>
  <c r="O69" i="5"/>
  <c r="N69" i="5"/>
  <c r="I69" i="1"/>
  <c r="K126" i="5"/>
  <c r="L126" i="5"/>
  <c r="H126" i="1"/>
  <c r="H73" i="1"/>
  <c r="K73" i="5"/>
  <c r="L73" i="5"/>
  <c r="K56" i="5"/>
  <c r="L56" i="5"/>
  <c r="H56" i="1"/>
  <c r="I30" i="1"/>
  <c r="N30" i="5"/>
  <c r="O30" i="5"/>
  <c r="K29" i="5"/>
  <c r="H29" i="1"/>
  <c r="L29" i="5"/>
  <c r="S104" i="1"/>
  <c r="R104" i="5"/>
  <c r="J104" i="1"/>
  <c r="Q104" i="5"/>
  <c r="K54" i="5"/>
  <c r="L54" i="5"/>
  <c r="H54" i="1"/>
  <c r="Q58" i="5"/>
  <c r="R58" i="5"/>
  <c r="J58" i="1"/>
  <c r="H21" i="5"/>
  <c r="I21" i="5" s="1"/>
  <c r="AH21" i="5" s="1"/>
  <c r="N104" i="5"/>
  <c r="Q104" i="1"/>
  <c r="O104" i="5"/>
  <c r="R104" i="1"/>
  <c r="I104" i="1"/>
  <c r="R7" i="5"/>
  <c r="J7" i="1"/>
  <c r="Q7" i="5"/>
  <c r="O126" i="5"/>
  <c r="Q126" i="1"/>
  <c r="I126" i="1"/>
  <c r="R126" i="1"/>
  <c r="N126" i="5"/>
  <c r="K135" i="5"/>
  <c r="H135" i="1"/>
  <c r="L135" i="5"/>
  <c r="N12" i="5"/>
  <c r="I12" i="1"/>
  <c r="O12" i="5"/>
  <c r="K12" i="5"/>
  <c r="H12" i="1"/>
  <c r="L12" i="5"/>
  <c r="N93" i="5"/>
  <c r="O93" i="5"/>
  <c r="Q93" i="1"/>
  <c r="I93" i="1"/>
  <c r="R93" i="1"/>
  <c r="H91" i="1"/>
  <c r="L91" i="5"/>
  <c r="K91" i="5"/>
  <c r="I8" i="1"/>
  <c r="O8" i="5"/>
  <c r="N8" i="5"/>
  <c r="H125" i="5"/>
  <c r="I125" i="5" s="1"/>
  <c r="G125" i="1"/>
  <c r="H134" i="1"/>
  <c r="L134" i="5"/>
  <c r="K134" i="5"/>
  <c r="K80" i="5"/>
  <c r="L80" i="5"/>
  <c r="H80" i="1"/>
  <c r="I16" i="1"/>
  <c r="N16" i="5"/>
  <c r="O16" i="5"/>
  <c r="Q133" i="1"/>
  <c r="O133" i="5"/>
  <c r="I133" i="1"/>
  <c r="R133" i="1"/>
  <c r="N133" i="5"/>
  <c r="Q67" i="5"/>
  <c r="R67" i="5"/>
  <c r="J67" i="1"/>
  <c r="O113" i="5"/>
  <c r="R113" i="1"/>
  <c r="Q113" i="1"/>
  <c r="I113" i="1"/>
  <c r="N113" i="5"/>
  <c r="K133" i="5"/>
  <c r="H133" i="1"/>
  <c r="L133" i="5"/>
  <c r="I114" i="1"/>
  <c r="O114" i="5"/>
  <c r="R114" i="1"/>
  <c r="N114" i="5"/>
  <c r="AN114" i="5" s="1"/>
  <c r="Q114" i="1"/>
  <c r="I32" i="1"/>
  <c r="N32" i="5"/>
  <c r="O32" i="5"/>
  <c r="H88" i="1"/>
  <c r="L88" i="5"/>
  <c r="K88" i="5"/>
  <c r="O83" i="5"/>
  <c r="Q83" i="1"/>
  <c r="N83" i="5"/>
  <c r="I83" i="1"/>
  <c r="R83" i="1"/>
  <c r="O109" i="5"/>
  <c r="I109" i="1"/>
  <c r="Q109" i="1"/>
  <c r="N109" i="5"/>
  <c r="R109" i="1"/>
  <c r="G77" i="1"/>
  <c r="H77" i="5"/>
  <c r="R122" i="1"/>
  <c r="N122" i="5"/>
  <c r="O122" i="5"/>
  <c r="I122" i="1"/>
  <c r="Q122" i="1"/>
  <c r="I61" i="1"/>
  <c r="O61" i="5"/>
  <c r="N61" i="5"/>
  <c r="N75" i="5"/>
  <c r="O75" i="5"/>
  <c r="I75" i="1"/>
  <c r="R75" i="1"/>
  <c r="Q75" i="1"/>
  <c r="O132" i="5"/>
  <c r="I132" i="1"/>
  <c r="N132" i="5"/>
  <c r="Q132" i="1"/>
  <c r="R132" i="1"/>
  <c r="R99" i="5"/>
  <c r="S99" i="1"/>
  <c r="J99" i="1"/>
  <c r="Q99" i="5"/>
  <c r="O84" i="5"/>
  <c r="I84" i="1"/>
  <c r="Q84" i="1"/>
  <c r="R84" i="1"/>
  <c r="N84" i="5"/>
  <c r="N96" i="5"/>
  <c r="Q96" i="1"/>
  <c r="O96" i="5"/>
  <c r="R96" i="1"/>
  <c r="I96" i="1"/>
  <c r="Q81" i="5"/>
  <c r="R81" i="5"/>
  <c r="S81" i="1"/>
  <c r="J81" i="1"/>
  <c r="G113" i="1"/>
  <c r="H113" i="5"/>
  <c r="K99" i="5"/>
  <c r="L99" i="5"/>
  <c r="H99" i="1"/>
  <c r="H117" i="5"/>
  <c r="I117" i="5" s="1"/>
  <c r="G117" i="1"/>
  <c r="H22" i="5"/>
  <c r="I22" i="5" s="1"/>
  <c r="AH22" i="5" s="1"/>
  <c r="I32" i="5"/>
  <c r="G32" i="1"/>
  <c r="G33" i="1"/>
  <c r="Q13" i="5"/>
  <c r="R13" i="5"/>
  <c r="J13" i="1"/>
  <c r="H116" i="1"/>
  <c r="L116" i="5"/>
  <c r="K116" i="5"/>
  <c r="R133" i="5"/>
  <c r="Q133" i="5"/>
  <c r="S133" i="1"/>
  <c r="J133" i="1"/>
  <c r="L130" i="5"/>
  <c r="H130" i="1"/>
  <c r="K130" i="5"/>
  <c r="O134" i="5"/>
  <c r="I134" i="1"/>
  <c r="N134" i="5"/>
  <c r="R134" i="1"/>
  <c r="Q134" i="1"/>
  <c r="L51" i="5"/>
  <c r="H51" i="1"/>
  <c r="K51" i="5"/>
  <c r="I23" i="1"/>
  <c r="N23" i="5"/>
  <c r="O23" i="5"/>
  <c r="O68" i="5"/>
  <c r="N68" i="5"/>
  <c r="I68" i="1"/>
  <c r="S118" i="1"/>
  <c r="J118" i="1"/>
  <c r="R118" i="5"/>
  <c r="Q118" i="5"/>
  <c r="L100" i="5"/>
  <c r="K100" i="5"/>
  <c r="H100" i="1"/>
  <c r="H131" i="1"/>
  <c r="K131" i="5"/>
  <c r="L131" i="5"/>
  <c r="R130" i="5"/>
  <c r="J130" i="1"/>
  <c r="S130" i="1"/>
  <c r="Q130" i="5"/>
  <c r="Q61" i="5"/>
  <c r="J61" i="1"/>
  <c r="R61" i="5"/>
  <c r="I25" i="1"/>
  <c r="N25" i="5"/>
  <c r="O25" i="5"/>
  <c r="H90" i="1"/>
  <c r="K90" i="5"/>
  <c r="L90" i="5"/>
  <c r="S109" i="1"/>
  <c r="R109" i="5"/>
  <c r="J109" i="1"/>
  <c r="Q109" i="5"/>
  <c r="Q99" i="1"/>
  <c r="N99" i="5"/>
  <c r="R99" i="1"/>
  <c r="O99" i="5"/>
  <c r="I99" i="1"/>
  <c r="S111" i="1"/>
  <c r="J111" i="1"/>
  <c r="Q111" i="5"/>
  <c r="R111" i="5"/>
  <c r="Q98" i="1"/>
  <c r="O98" i="5"/>
  <c r="I98" i="1"/>
  <c r="R98" i="1"/>
  <c r="N98" i="5"/>
  <c r="H8" i="1"/>
  <c r="K8" i="5"/>
  <c r="L8" i="5"/>
  <c r="S127" i="1"/>
  <c r="J127" i="1"/>
  <c r="R127" i="5"/>
  <c r="Q127" i="5"/>
  <c r="L105" i="5"/>
  <c r="K105" i="5"/>
  <c r="AK105" i="5" s="1"/>
  <c r="H105" i="1"/>
  <c r="I111" i="1"/>
  <c r="Q111" i="1"/>
  <c r="N111" i="5"/>
  <c r="O111" i="5"/>
  <c r="R111" i="1"/>
  <c r="H95" i="5"/>
  <c r="G95" i="1"/>
  <c r="H107" i="1"/>
  <c r="L107" i="5"/>
  <c r="K107" i="5"/>
  <c r="K39" i="5"/>
  <c r="H39" i="1"/>
  <c r="L39" i="5"/>
  <c r="H84" i="5"/>
  <c r="G84" i="1"/>
  <c r="I66" i="1"/>
  <c r="N66" i="5"/>
  <c r="O66" i="5"/>
  <c r="K32" i="5"/>
  <c r="L32" i="5"/>
  <c r="H32" i="1"/>
  <c r="H30" i="1"/>
  <c r="L30" i="5"/>
  <c r="K30" i="5"/>
  <c r="R97" i="5"/>
  <c r="J97" i="1"/>
  <c r="Q97" i="5"/>
  <c r="S97" i="1"/>
  <c r="R107" i="1"/>
  <c r="N107" i="5"/>
  <c r="Q107" i="1"/>
  <c r="O107" i="5"/>
  <c r="I107" i="1"/>
  <c r="Q89" i="1"/>
  <c r="O89" i="5"/>
  <c r="I89" i="1"/>
  <c r="R89" i="1"/>
  <c r="N89" i="5"/>
  <c r="N65" i="5"/>
  <c r="I65" i="1"/>
  <c r="O65" i="5"/>
  <c r="I121" i="1"/>
  <c r="N121" i="5"/>
  <c r="R121" i="1"/>
  <c r="Q121" i="1"/>
  <c r="O121" i="5"/>
  <c r="Q95" i="1"/>
  <c r="O95" i="5"/>
  <c r="N95" i="5"/>
  <c r="I95" i="1"/>
  <c r="R95" i="1"/>
  <c r="N125" i="5"/>
  <c r="O125" i="5"/>
  <c r="Q125" i="1"/>
  <c r="R125" i="1"/>
  <c r="I125" i="1"/>
  <c r="K76" i="5"/>
  <c r="L76" i="5"/>
  <c r="H76" i="1"/>
  <c r="I27" i="1"/>
  <c r="N27" i="5"/>
  <c r="O27" i="5"/>
  <c r="R112" i="5"/>
  <c r="J112" i="1"/>
  <c r="Q112" i="5"/>
  <c r="S112" i="1"/>
  <c r="L72" i="5"/>
  <c r="K72" i="5"/>
  <c r="H72" i="1"/>
  <c r="L102" i="5"/>
  <c r="K102" i="5"/>
  <c r="H102" i="1"/>
  <c r="N62" i="5"/>
  <c r="I62" i="1"/>
  <c r="O62" i="5"/>
  <c r="Q79" i="5"/>
  <c r="R79" i="5"/>
  <c r="S79" i="1"/>
  <c r="J79" i="1"/>
  <c r="I108" i="1"/>
  <c r="Q108" i="1"/>
  <c r="N108" i="5"/>
  <c r="O108" i="5"/>
  <c r="R108" i="1"/>
  <c r="N103" i="5"/>
  <c r="O103" i="5"/>
  <c r="R103" i="1"/>
  <c r="I103" i="1"/>
  <c r="Q103" i="1"/>
  <c r="K9" i="5"/>
  <c r="H9" i="1"/>
  <c r="L9" i="5"/>
  <c r="Q82" i="5"/>
  <c r="R82" i="5"/>
  <c r="J82" i="1"/>
  <c r="S82" i="1"/>
  <c r="K52" i="5"/>
  <c r="L52" i="5"/>
  <c r="H52" i="1"/>
  <c r="L10" i="5"/>
  <c r="H10" i="1"/>
  <c r="K10" i="5"/>
  <c r="H82" i="5"/>
  <c r="I82" i="5" s="1"/>
  <c r="AH82" i="5" s="1"/>
  <c r="G82" i="1"/>
  <c r="H92" i="5"/>
  <c r="G92" i="1"/>
  <c r="G132" i="1"/>
  <c r="H132" i="5"/>
  <c r="I132" i="5" s="1"/>
  <c r="K110" i="5"/>
  <c r="L110" i="5"/>
  <c r="H110" i="1"/>
  <c r="I102" i="1"/>
  <c r="R102" i="1"/>
  <c r="N102" i="5"/>
  <c r="O102" i="5"/>
  <c r="Q102" i="1"/>
  <c r="G107" i="1"/>
  <c r="H107" i="5"/>
  <c r="I107" i="5" s="1"/>
  <c r="AH107" i="5" s="1"/>
  <c r="I35" i="5"/>
  <c r="G35" i="1"/>
  <c r="R15" i="5"/>
  <c r="Q15" i="5"/>
  <c r="J15" i="1"/>
  <c r="N14" i="5"/>
  <c r="O14" i="5"/>
  <c r="I14" i="1"/>
  <c r="G94" i="1"/>
  <c r="H94" i="5"/>
  <c r="S88" i="1"/>
  <c r="J88" i="1"/>
  <c r="R88" i="5"/>
  <c r="Q88" i="5"/>
  <c r="Q94" i="5"/>
  <c r="S94" i="1"/>
  <c r="R94" i="5"/>
  <c r="J94" i="1"/>
  <c r="O26" i="5"/>
  <c r="I26" i="1"/>
  <c r="N26" i="5"/>
  <c r="L125" i="5"/>
  <c r="H125" i="1"/>
  <c r="K125" i="5"/>
  <c r="J69" i="1"/>
  <c r="R69" i="5"/>
  <c r="Q69" i="5"/>
  <c r="S106" i="1"/>
  <c r="R106" i="5"/>
  <c r="Q106" i="5"/>
  <c r="J106" i="1"/>
  <c r="I40" i="5"/>
  <c r="G40" i="1"/>
  <c r="H128" i="5"/>
  <c r="I128" i="5" s="1"/>
  <c r="G128" i="1"/>
  <c r="S84" i="1"/>
  <c r="R84" i="5"/>
  <c r="Q84" i="5"/>
  <c r="J84" i="1"/>
  <c r="G37" i="1"/>
  <c r="I37" i="5"/>
  <c r="G114" i="1"/>
  <c r="H114" i="5"/>
  <c r="N29" i="5"/>
  <c r="O29" i="5"/>
  <c r="I29" i="1"/>
  <c r="I11" i="1"/>
  <c r="N11" i="5"/>
  <c r="O11" i="5"/>
  <c r="H112" i="1"/>
  <c r="K112" i="5"/>
  <c r="L112" i="5"/>
  <c r="L101" i="5"/>
  <c r="H101" i="1"/>
  <c r="K101" i="5"/>
  <c r="G80" i="1"/>
  <c r="H80" i="5"/>
  <c r="N70" i="5"/>
  <c r="I70" i="1"/>
  <c r="O70" i="5"/>
  <c r="O15" i="5"/>
  <c r="N15" i="5"/>
  <c r="I15" i="1"/>
  <c r="K117" i="5"/>
  <c r="L117" i="5"/>
  <c r="H117" i="1"/>
  <c r="H134" i="5"/>
  <c r="I134" i="5" s="1"/>
  <c r="G134" i="1"/>
  <c r="L111" i="5"/>
  <c r="K111" i="5"/>
  <c r="H111" i="1"/>
  <c r="N10" i="5"/>
  <c r="O10" i="5"/>
  <c r="I10" i="1"/>
  <c r="L38" i="5"/>
  <c r="K38" i="5"/>
  <c r="H38" i="1"/>
  <c r="J59" i="1"/>
  <c r="R59" i="5"/>
  <c r="Q59" i="5"/>
  <c r="H106" i="5"/>
  <c r="G106" i="1"/>
  <c r="K97" i="5"/>
  <c r="L97" i="5"/>
  <c r="H97" i="1"/>
  <c r="K44" i="5"/>
  <c r="H44" i="1"/>
  <c r="L44" i="5"/>
  <c r="K33" i="5"/>
  <c r="L33" i="5"/>
  <c r="H33" i="1"/>
  <c r="J98" i="1"/>
  <c r="R98" i="5"/>
  <c r="S98" i="1"/>
  <c r="Q98" i="5"/>
  <c r="J110" i="1"/>
  <c r="Q110" i="5"/>
  <c r="S110" i="1"/>
  <c r="R110" i="5"/>
  <c r="H122" i="1"/>
  <c r="L122" i="5"/>
  <c r="K122" i="5"/>
  <c r="H87" i="5"/>
  <c r="I87" i="5" s="1"/>
  <c r="AH87" i="5" s="1"/>
  <c r="G87" i="1"/>
  <c r="L120" i="5"/>
  <c r="H120" i="1"/>
  <c r="K120" i="5"/>
  <c r="H75" i="5"/>
  <c r="G75" i="1"/>
  <c r="N59" i="5"/>
  <c r="I59" i="1"/>
  <c r="O59" i="5"/>
  <c r="L58" i="5"/>
  <c r="K58" i="5"/>
  <c r="H58" i="1"/>
  <c r="H92" i="1"/>
  <c r="L92" i="5"/>
  <c r="K92" i="5"/>
  <c r="G31" i="1"/>
  <c r="J17" i="1"/>
  <c r="Q17" i="5"/>
  <c r="R17" i="5"/>
  <c r="H104" i="1"/>
  <c r="L104" i="5"/>
  <c r="K104" i="5"/>
  <c r="K119" i="5"/>
  <c r="L119" i="5"/>
  <c r="H119" i="1"/>
  <c r="N85" i="5"/>
  <c r="R85" i="1"/>
  <c r="O85" i="5"/>
  <c r="Q85" i="1"/>
  <c r="I85" i="1"/>
  <c r="Q80" i="5"/>
  <c r="S80" i="1"/>
  <c r="R80" i="5"/>
  <c r="J80" i="1"/>
  <c r="H27" i="5"/>
  <c r="I27" i="5" s="1"/>
  <c r="G27" i="1"/>
  <c r="G42" i="1"/>
  <c r="J62" i="1"/>
  <c r="R62" i="5"/>
  <c r="Q62" i="5"/>
  <c r="L48" i="5"/>
  <c r="H48" i="1"/>
  <c r="K48" i="5"/>
  <c r="S123" i="1"/>
  <c r="J123" i="1"/>
  <c r="Q123" i="5"/>
  <c r="R123" i="5"/>
  <c r="H12" i="5"/>
  <c r="I12" i="5" s="1"/>
  <c r="AH12" i="5" s="1"/>
  <c r="H79" i="5"/>
  <c r="I79" i="5" s="1"/>
  <c r="AH79" i="5" s="1"/>
  <c r="G79" i="1"/>
  <c r="J71" i="1"/>
  <c r="S71" i="1"/>
  <c r="Q71" i="5"/>
  <c r="R71" i="5"/>
  <c r="Q102" i="5"/>
  <c r="J102" i="1"/>
  <c r="R102" i="5"/>
  <c r="S102" i="1"/>
  <c r="K31" i="5"/>
  <c r="H31" i="1"/>
  <c r="L31" i="5"/>
  <c r="H20" i="5"/>
  <c r="L114" i="5"/>
  <c r="H114" i="1"/>
  <c r="K114" i="5"/>
  <c r="I55" i="1"/>
  <c r="N55" i="5"/>
  <c r="O55" i="5"/>
  <c r="H16" i="5"/>
  <c r="K132" i="5"/>
  <c r="H132" i="1"/>
  <c r="L132" i="5"/>
  <c r="G104" i="1"/>
  <c r="H104" i="5"/>
  <c r="I104" i="5" s="1"/>
  <c r="AH104" i="5" s="1"/>
  <c r="H10" i="5"/>
  <c r="I10" i="5" s="1"/>
  <c r="AH10" i="5" s="1"/>
  <c r="G10" i="1"/>
  <c r="O73" i="5"/>
  <c r="Q73" i="1"/>
  <c r="N73" i="5"/>
  <c r="R73" i="1"/>
  <c r="I73" i="1"/>
  <c r="I94" i="1"/>
  <c r="Q94" i="1"/>
  <c r="N94" i="5"/>
  <c r="R94" i="1"/>
  <c r="O94" i="5"/>
  <c r="K89" i="5"/>
  <c r="H89" i="1"/>
  <c r="L89" i="5"/>
  <c r="G130" i="1"/>
  <c r="H130" i="5"/>
  <c r="I130" i="5" s="1"/>
  <c r="G136" i="1"/>
  <c r="H136" i="5"/>
  <c r="I136" i="5" s="1"/>
  <c r="AH136" i="5" s="1"/>
  <c r="G72" i="1"/>
  <c r="H72" i="5"/>
  <c r="I72" i="5" s="1"/>
  <c r="AH72" i="5" s="1"/>
  <c r="O118" i="5"/>
  <c r="I118" i="1"/>
  <c r="R118" i="1"/>
  <c r="N118" i="5"/>
  <c r="Q118" i="1"/>
  <c r="Q19" i="5"/>
  <c r="R19" i="5"/>
  <c r="J19" i="1"/>
  <c r="I24" i="1"/>
  <c r="O24" i="5"/>
  <c r="N24" i="5"/>
  <c r="H121" i="1"/>
  <c r="K121" i="5"/>
  <c r="L121" i="5"/>
  <c r="J56" i="1"/>
  <c r="R56" i="5"/>
  <c r="Q56" i="5"/>
  <c r="H89" i="5"/>
  <c r="I89" i="5" s="1"/>
  <c r="AH89" i="5" s="1"/>
  <c r="G89" i="1"/>
  <c r="I112" i="1"/>
  <c r="O112" i="5"/>
  <c r="Q112" i="1"/>
  <c r="R112" i="1"/>
  <c r="N112" i="5"/>
  <c r="R92" i="5"/>
  <c r="J92" i="1"/>
  <c r="S92" i="1"/>
  <c r="Q92" i="5"/>
  <c r="G85" i="1"/>
  <c r="H85" i="5"/>
  <c r="G41" i="1"/>
  <c r="H71" i="5"/>
  <c r="I71" i="5" s="1"/>
  <c r="G71" i="1"/>
  <c r="I51" i="1"/>
  <c r="O51" i="5"/>
  <c r="N51" i="5"/>
  <c r="H55" i="1"/>
  <c r="K55" i="5"/>
  <c r="L55" i="5"/>
  <c r="H13" i="5"/>
  <c r="G100" i="1"/>
  <c r="H100" i="5"/>
  <c r="O13" i="5"/>
  <c r="N13" i="5"/>
  <c r="I13" i="1"/>
  <c r="J57" i="1"/>
  <c r="R57" i="5"/>
  <c r="Q57" i="5"/>
  <c r="L49" i="5"/>
  <c r="K49" i="5"/>
  <c r="H49" i="1"/>
  <c r="K71" i="5"/>
  <c r="H71" i="1"/>
  <c r="L71" i="5"/>
  <c r="Q124" i="5"/>
  <c r="R124" i="5"/>
  <c r="J124" i="1"/>
  <c r="S124" i="1"/>
  <c r="L23" i="5"/>
  <c r="K23" i="5"/>
  <c r="H23" i="1"/>
  <c r="H25" i="5"/>
  <c r="I25" i="5" s="1"/>
  <c r="G25" i="1"/>
  <c r="R106" i="1"/>
  <c r="N106" i="5"/>
  <c r="O106" i="5"/>
  <c r="I106" i="1"/>
  <c r="Q106" i="1"/>
  <c r="H103" i="5"/>
  <c r="G103" i="1"/>
  <c r="Q8" i="5"/>
  <c r="J8" i="1"/>
  <c r="R8" i="5"/>
  <c r="J103" i="1"/>
  <c r="R103" i="5"/>
  <c r="Q103" i="5"/>
  <c r="S103" i="1"/>
  <c r="K34" i="5"/>
  <c r="H34" i="1"/>
  <c r="L34" i="5"/>
  <c r="Q93" i="5"/>
  <c r="S93" i="1"/>
  <c r="J93" i="1"/>
  <c r="R93" i="5"/>
  <c r="G38" i="1"/>
  <c r="G34" i="1"/>
  <c r="K27" i="5"/>
  <c r="L27" i="5"/>
  <c r="H27" i="1"/>
  <c r="R100" i="1"/>
  <c r="O100" i="5"/>
  <c r="I100" i="1"/>
  <c r="Q100" i="1"/>
  <c r="N100" i="5"/>
  <c r="J108" i="1"/>
  <c r="S108" i="1"/>
  <c r="Q108" i="5"/>
  <c r="R108" i="5"/>
  <c r="O80" i="5"/>
  <c r="Q80" i="1"/>
  <c r="I80" i="1"/>
  <c r="N80" i="5"/>
  <c r="R80" i="1"/>
  <c r="J12" i="1"/>
  <c r="R12" i="5"/>
  <c r="Q12" i="5"/>
  <c r="R18" i="5"/>
  <c r="Q18" i="5"/>
  <c r="J18" i="1"/>
  <c r="G118" i="1"/>
  <c r="H118" i="5"/>
  <c r="I118" i="5" s="1"/>
  <c r="K81" i="5"/>
  <c r="L81" i="5"/>
  <c r="H81" i="1"/>
  <c r="K109" i="5"/>
  <c r="L109" i="5"/>
  <c r="H109" i="1"/>
  <c r="K24" i="5"/>
  <c r="H24" i="1"/>
  <c r="L24" i="5"/>
  <c r="H124" i="5"/>
  <c r="I124" i="5" s="1"/>
  <c r="G124" i="1"/>
  <c r="O90" i="5"/>
  <c r="N90" i="5"/>
  <c r="Q90" i="1"/>
  <c r="R90" i="1"/>
  <c r="I90" i="1"/>
  <c r="H97" i="5"/>
  <c r="G97" i="1"/>
  <c r="H25" i="1"/>
  <c r="K25" i="5"/>
  <c r="L25" i="5"/>
  <c r="Q53" i="5"/>
  <c r="J53" i="1"/>
  <c r="R53" i="5"/>
  <c r="H53" i="1"/>
  <c r="K53" i="5"/>
  <c r="L53" i="5"/>
  <c r="G96" i="1"/>
  <c r="H96" i="5"/>
  <c r="Q90" i="5"/>
  <c r="J90" i="1"/>
  <c r="S90" i="1"/>
  <c r="R90" i="5"/>
  <c r="H86" i="5"/>
  <c r="G86" i="1"/>
  <c r="L46" i="5"/>
  <c r="H46" i="1"/>
  <c r="K46" i="5"/>
  <c r="H74" i="1"/>
  <c r="L74" i="5"/>
  <c r="K74" i="5"/>
  <c r="H119" i="5"/>
  <c r="I119" i="5" s="1"/>
  <c r="G119" i="1"/>
  <c r="H79" i="1"/>
  <c r="K79" i="5"/>
  <c r="L79" i="5"/>
  <c r="R14" i="5"/>
  <c r="Q14" i="5"/>
  <c r="J14" i="1"/>
  <c r="O117" i="5"/>
  <c r="I117" i="1"/>
  <c r="Q117" i="1"/>
  <c r="N117" i="5"/>
  <c r="R117" i="1"/>
  <c r="N86" i="5"/>
  <c r="R86" i="1"/>
  <c r="I86" i="1"/>
  <c r="O86" i="5"/>
  <c r="Q86" i="1"/>
  <c r="Q136" i="5"/>
  <c r="J136" i="1"/>
  <c r="R136" i="5"/>
  <c r="S136" i="1"/>
  <c r="H73" i="5"/>
  <c r="I73" i="5" s="1"/>
  <c r="AH73" i="5" s="1"/>
  <c r="G73" i="1"/>
  <c r="Q63" i="5"/>
  <c r="J63" i="1"/>
  <c r="R63" i="5"/>
  <c r="H112" i="5"/>
  <c r="G112" i="1"/>
  <c r="H129" i="5"/>
  <c r="I129" i="5" s="1"/>
  <c r="G129" i="1"/>
  <c r="Q135" i="5"/>
  <c r="S135" i="1"/>
  <c r="J135" i="1"/>
  <c r="R135" i="5"/>
  <c r="K13" i="5"/>
  <c r="L13" i="5"/>
  <c r="H13" i="1"/>
  <c r="S87" i="1"/>
  <c r="R87" i="5"/>
  <c r="Q87" i="5"/>
  <c r="J87" i="1"/>
  <c r="K128" i="5"/>
  <c r="H128" i="1"/>
  <c r="L128" i="5"/>
  <c r="H14" i="5"/>
  <c r="I14" i="5" s="1"/>
  <c r="AH14" i="5" s="1"/>
  <c r="K26" i="5"/>
  <c r="H26" i="1"/>
  <c r="L26" i="5"/>
  <c r="Q64" i="5"/>
  <c r="J64" i="1"/>
  <c r="R64" i="5"/>
  <c r="H37" i="1"/>
  <c r="K37" i="5"/>
  <c r="L37" i="5"/>
  <c r="I60" i="1"/>
  <c r="O60" i="5"/>
  <c r="N60" i="5"/>
  <c r="H18" i="5"/>
  <c r="N34" i="5"/>
  <c r="O34" i="5"/>
  <c r="I34" i="1"/>
  <c r="G116" i="1"/>
  <c r="H116" i="5"/>
  <c r="Q116" i="5"/>
  <c r="R116" i="5"/>
  <c r="J116" i="1"/>
  <c r="S116" i="1"/>
  <c r="R116" i="1"/>
  <c r="O116" i="5"/>
  <c r="I116" i="1"/>
  <c r="N116" i="5"/>
  <c r="Q116" i="1"/>
  <c r="L82" i="5"/>
  <c r="K82" i="5"/>
  <c r="H82" i="1"/>
  <c r="K77" i="5"/>
  <c r="L77" i="5"/>
  <c r="H77" i="1"/>
  <c r="R66" i="5"/>
  <c r="J66" i="1"/>
  <c r="Q66" i="5"/>
  <c r="J107" i="1"/>
  <c r="S107" i="1"/>
  <c r="R107" i="5"/>
  <c r="Q107" i="5"/>
  <c r="H28" i="5"/>
  <c r="I28" i="5" s="1"/>
  <c r="G28" i="1"/>
  <c r="Q91" i="1"/>
  <c r="I91" i="1"/>
  <c r="N91" i="5"/>
  <c r="R91" i="1"/>
  <c r="O91" i="5"/>
  <c r="S126" i="1"/>
  <c r="Q126" i="5"/>
  <c r="R126" i="5"/>
  <c r="J126" i="1"/>
  <c r="Q114" i="5"/>
  <c r="S114" i="1"/>
  <c r="R114" i="5"/>
  <c r="J114" i="1"/>
  <c r="L103" i="5"/>
  <c r="H103" i="1"/>
  <c r="K103" i="5"/>
  <c r="R16" i="5"/>
  <c r="Q16" i="5"/>
  <c r="J16" i="1"/>
  <c r="H19" i="5"/>
  <c r="Q131" i="5"/>
  <c r="R131" i="5"/>
  <c r="J131" i="1"/>
  <c r="S131" i="1"/>
  <c r="H74" i="5"/>
  <c r="I74" i="5" s="1"/>
  <c r="AH74" i="5" s="1"/>
  <c r="G74" i="1"/>
  <c r="N67" i="5"/>
  <c r="O67" i="5"/>
  <c r="I67" i="1"/>
  <c r="J21" i="1"/>
  <c r="R21" i="5"/>
  <c r="Q21" i="5"/>
  <c r="N52" i="5"/>
  <c r="I52" i="1"/>
  <c r="O52" i="5"/>
  <c r="G105" i="1"/>
  <c r="H105" i="5"/>
  <c r="O54" i="5"/>
  <c r="N54" i="5"/>
  <c r="I54" i="1"/>
  <c r="H43" i="1"/>
  <c r="K43" i="5"/>
  <c r="L43" i="5"/>
  <c r="K95" i="5"/>
  <c r="L95" i="5"/>
  <c r="H95" i="1"/>
  <c r="G81" i="1"/>
  <c r="H81" i="5"/>
  <c r="R129" i="5"/>
  <c r="J129" i="1"/>
  <c r="S129" i="1"/>
  <c r="Q129" i="5"/>
  <c r="O77" i="5"/>
  <c r="R77" i="1"/>
  <c r="Q77" i="1"/>
  <c r="N77" i="5"/>
  <c r="I77" i="1"/>
  <c r="K108" i="5"/>
  <c r="L108" i="5"/>
  <c r="H108" i="1"/>
  <c r="H131" i="5"/>
  <c r="I131" i="5" s="1"/>
  <c r="G131" i="1"/>
  <c r="Q115" i="1"/>
  <c r="N115" i="5"/>
  <c r="I115" i="1"/>
  <c r="R115" i="1"/>
  <c r="O115" i="5"/>
  <c r="R11" i="5"/>
  <c r="J11" i="1"/>
  <c r="Q11" i="5"/>
  <c r="J65" i="1"/>
  <c r="R65" i="5"/>
  <c r="Q65" i="5"/>
  <c r="H17" i="5"/>
  <c r="Q95" i="5"/>
  <c r="R95" i="5"/>
  <c r="J95" i="1"/>
  <c r="S95" i="1"/>
  <c r="Q55" i="5"/>
  <c r="R55" i="5"/>
  <c r="J55" i="1"/>
  <c r="S96" i="1"/>
  <c r="J96" i="1"/>
  <c r="R96" i="5"/>
  <c r="Q96" i="5"/>
  <c r="AQ96" i="5" s="1"/>
  <c r="K85" i="5"/>
  <c r="H85" i="1"/>
  <c r="L85" i="5"/>
  <c r="H11" i="5"/>
  <c r="G11" i="1"/>
  <c r="H115" i="1"/>
  <c r="K115" i="5"/>
  <c r="L115" i="5"/>
  <c r="Q60" i="5"/>
  <c r="J60" i="1"/>
  <c r="R60" i="5"/>
  <c r="L47" i="5"/>
  <c r="H47" i="1"/>
  <c r="K47" i="5"/>
  <c r="K118" i="5"/>
  <c r="H118" i="1"/>
  <c r="L118" i="5"/>
  <c r="Q81" i="1"/>
  <c r="R81" i="1"/>
  <c r="O81" i="5"/>
  <c r="N81" i="5"/>
  <c r="I81" i="1"/>
  <c r="R91" i="5"/>
  <c r="S91" i="1"/>
  <c r="J91" i="1"/>
  <c r="Q91" i="5"/>
  <c r="H121" i="5"/>
  <c r="I121" i="5" s="1"/>
  <c r="G121" i="1"/>
  <c r="K113" i="5"/>
  <c r="H113" i="1"/>
  <c r="L113" i="5"/>
  <c r="H78" i="5"/>
  <c r="G78" i="1"/>
  <c r="N110" i="5"/>
  <c r="Q110" i="1"/>
  <c r="I110" i="1"/>
  <c r="O110" i="5"/>
  <c r="R110" i="1"/>
  <c r="K11" i="5"/>
  <c r="L11" i="5"/>
  <c r="H11" i="1"/>
  <c r="O9" i="5"/>
  <c r="I9" i="1"/>
  <c r="N9" i="5"/>
  <c r="G109" i="1"/>
  <c r="H109" i="5"/>
  <c r="I109" i="5" s="1"/>
  <c r="AH109" i="5" s="1"/>
  <c r="N56" i="5"/>
  <c r="O56" i="5"/>
  <c r="I56" i="1"/>
  <c r="R131" i="1"/>
  <c r="N131" i="5"/>
  <c r="Q131" i="1"/>
  <c r="O131" i="5"/>
  <c r="I131" i="1"/>
  <c r="G135" i="1"/>
  <c r="H135" i="5"/>
  <c r="I135" i="5" s="1"/>
  <c r="N79" i="5"/>
  <c r="R79" i="1"/>
  <c r="I79" i="1"/>
  <c r="Q79" i="1"/>
  <c r="O79" i="5"/>
  <c r="L87" i="5"/>
  <c r="K87" i="5"/>
  <c r="H87" i="1"/>
  <c r="J22" i="1"/>
  <c r="Q22" i="5"/>
  <c r="R22" i="5"/>
  <c r="H7" i="1"/>
  <c r="L7" i="5"/>
  <c r="K7" i="5"/>
  <c r="S128" i="1"/>
  <c r="J128" i="1"/>
  <c r="R128" i="5"/>
  <c r="Q128" i="5"/>
  <c r="I101" i="1"/>
  <c r="N101" i="5"/>
  <c r="R101" i="1"/>
  <c r="O101" i="5"/>
  <c r="Q101" i="1"/>
  <c r="L57" i="5"/>
  <c r="K57" i="5"/>
  <c r="H57" i="1"/>
  <c r="Q83" i="5"/>
  <c r="S83" i="1"/>
  <c r="J83" i="1"/>
  <c r="R83" i="5"/>
  <c r="Q132" i="5"/>
  <c r="S132" i="1"/>
  <c r="J132" i="1"/>
  <c r="R132" i="5"/>
  <c r="G122" i="1"/>
  <c r="H122" i="5"/>
  <c r="I122" i="5" s="1"/>
  <c r="J70" i="1"/>
  <c r="Q70" i="5"/>
  <c r="R70" i="5"/>
  <c r="AN109" i="5" l="1"/>
  <c r="AQ101" i="5"/>
  <c r="AK88" i="5"/>
  <c r="AN90" i="5"/>
  <c r="AQ92" i="5"/>
  <c r="AK107" i="5"/>
  <c r="AN105" i="5"/>
  <c r="AQ107" i="5"/>
  <c r="AN100" i="5"/>
  <c r="AN83" i="5"/>
  <c r="AK116" i="5"/>
  <c r="AK136" i="5"/>
  <c r="AQ83" i="5"/>
  <c r="AN99" i="5"/>
  <c r="AK108" i="5"/>
  <c r="AQ114" i="5"/>
  <c r="AN75" i="5"/>
  <c r="AQ91" i="5"/>
  <c r="AK114" i="5"/>
  <c r="AQ111" i="5"/>
  <c r="AQ89" i="5"/>
  <c r="AN104" i="5"/>
  <c r="AN81" i="5"/>
  <c r="AQ103" i="5"/>
  <c r="AQ97" i="5"/>
  <c r="AQ75" i="5"/>
  <c r="AK115" i="5"/>
  <c r="AK95" i="5"/>
  <c r="AK79" i="5"/>
  <c r="AN97" i="5"/>
  <c r="AQ109" i="5"/>
  <c r="AQ99" i="5"/>
  <c r="AN113" i="5"/>
  <c r="AQ104" i="5"/>
  <c r="AQ85" i="5"/>
  <c r="AN88" i="5"/>
  <c r="AK102" i="5"/>
  <c r="AQ87" i="5"/>
  <c r="AN106" i="5"/>
  <c r="AN136" i="5"/>
  <c r="AK103" i="5"/>
  <c r="AN116" i="5"/>
  <c r="AQ112" i="5"/>
  <c r="AQ95" i="5"/>
  <c r="AQ136" i="5"/>
  <c r="AK113" i="5"/>
  <c r="AK71" i="5"/>
  <c r="AN94" i="5"/>
  <c r="AK100" i="5"/>
  <c r="AQ86" i="5"/>
  <c r="AQ105" i="5"/>
  <c r="AK94" i="5"/>
  <c r="AN80" i="5"/>
  <c r="AN112" i="5"/>
  <c r="AN89" i="5"/>
  <c r="AN98" i="5"/>
  <c r="AK87" i="5"/>
  <c r="AQ100" i="5"/>
  <c r="AN101" i="5"/>
  <c r="AN92" i="5"/>
  <c r="AN115" i="5"/>
  <c r="AN82" i="5"/>
  <c r="AQ115" i="5"/>
  <c r="AQ81" i="5"/>
  <c r="AK86" i="5"/>
  <c r="AK90" i="5"/>
  <c r="AN111" i="5"/>
  <c r="AQ79" i="5"/>
  <c r="AK112" i="5"/>
  <c r="I91" i="5"/>
  <c r="AH91" i="5" s="1"/>
  <c r="I102" i="5"/>
  <c r="AH102" i="5" s="1"/>
  <c r="AQ126" i="5"/>
  <c r="AN86" i="5"/>
  <c r="I78" i="5"/>
  <c r="AH78" i="5" s="1"/>
  <c r="I105" i="5"/>
  <c r="AH105" i="5" s="1"/>
  <c r="AK89" i="5"/>
  <c r="AQ102" i="5"/>
  <c r="I95" i="5"/>
  <c r="AH95" i="5" s="1"/>
  <c r="AN93" i="5"/>
  <c r="AK126" i="5"/>
  <c r="I19" i="5"/>
  <c r="AH19" i="5" s="1"/>
  <c r="I112" i="5"/>
  <c r="AH112" i="5" s="1"/>
  <c r="AQ98" i="5"/>
  <c r="AQ94" i="5"/>
  <c r="AN103" i="5"/>
  <c r="AN91" i="5"/>
  <c r="AK82" i="5"/>
  <c r="I18" i="5"/>
  <c r="AH18" i="5" s="1"/>
  <c r="AK109" i="5"/>
  <c r="I103" i="5"/>
  <c r="AH103" i="5" s="1"/>
  <c r="I16" i="5"/>
  <c r="AH16" i="5" s="1"/>
  <c r="AQ71" i="5"/>
  <c r="AK104" i="5"/>
  <c r="AQ106" i="5"/>
  <c r="AQ88" i="5"/>
  <c r="I90" i="5"/>
  <c r="AH90" i="5" s="1"/>
  <c r="I86" i="5"/>
  <c r="AH86" i="5" s="1"/>
  <c r="AQ108" i="5"/>
  <c r="I75" i="5"/>
  <c r="AH75" i="5" s="1"/>
  <c r="AN102" i="5"/>
  <c r="AN108" i="5"/>
  <c r="I77" i="5"/>
  <c r="AH77" i="5" s="1"/>
  <c r="I81" i="5"/>
  <c r="AH81" i="5" s="1"/>
  <c r="I97" i="5"/>
  <c r="AH97" i="5" s="1"/>
  <c r="AK81" i="5"/>
  <c r="I114" i="5"/>
  <c r="AH114" i="5" s="1"/>
  <c r="AN95" i="5"/>
  <c r="I126" i="5"/>
  <c r="AH126" i="5" s="1"/>
  <c r="AQ93" i="5"/>
  <c r="I94" i="5"/>
  <c r="AH94" i="5" s="1"/>
  <c r="AN87" i="5"/>
  <c r="AN79" i="5"/>
  <c r="I80" i="5"/>
  <c r="AH80" i="5" s="1"/>
  <c r="I100" i="5"/>
  <c r="AH100" i="5" s="1"/>
  <c r="AK97" i="5"/>
  <c r="AQ113" i="5"/>
  <c r="I113" i="5"/>
  <c r="AH113" i="5" s="1"/>
  <c r="AN71" i="5"/>
  <c r="AK85" i="5"/>
  <c r="AQ90" i="5"/>
  <c r="AN107" i="5"/>
  <c r="I84" i="5"/>
  <c r="AH84" i="5" s="1"/>
  <c r="AN96" i="5"/>
  <c r="I17" i="5"/>
  <c r="AH17" i="5" s="1"/>
  <c r="I11" i="5"/>
  <c r="AH11" i="5" s="1"/>
  <c r="AQ116" i="5"/>
  <c r="I110" i="5"/>
  <c r="AH110" i="5" s="1"/>
  <c r="I92" i="5"/>
  <c r="AH92" i="5" s="1"/>
  <c r="AN85" i="5"/>
  <c r="I13" i="5"/>
  <c r="AH13" i="5" s="1"/>
  <c r="I106" i="5"/>
  <c r="AH106" i="5" s="1"/>
  <c r="AK75" i="5"/>
  <c r="I96" i="5"/>
  <c r="AH96" i="5" s="1"/>
  <c r="I20" i="5"/>
  <c r="AH20" i="5" s="1"/>
  <c r="AQ80" i="5"/>
  <c r="AK101" i="5"/>
  <c r="AK110" i="5"/>
  <c r="AQ82" i="5"/>
  <c r="AN84" i="5"/>
  <c r="AK91" i="5"/>
  <c r="I101" i="5"/>
  <c r="AH101" i="5" s="1"/>
  <c r="AK84" i="5"/>
  <c r="AK96" i="5"/>
  <c r="I99" i="5"/>
  <c r="AH99" i="5" s="1"/>
  <c r="I116" i="5"/>
  <c r="AH116" i="5" s="1"/>
  <c r="AK99" i="5"/>
  <c r="AK83" i="5"/>
  <c r="AN110" i="5"/>
  <c r="AQ110" i="5"/>
  <c r="AK80" i="5"/>
  <c r="I85" i="5"/>
  <c r="AH85" i="5" s="1"/>
  <c r="AK92" i="5"/>
  <c r="AK111" i="5"/>
  <c r="AQ84" i="5"/>
  <c r="AN126" i="5"/>
  <c r="AK93" i="5"/>
  <c r="I7" i="5"/>
  <c r="AH7" i="5" s="1"/>
  <c r="AK106" i="5"/>
  <c r="AK98" i="5"/>
  <c r="I83" i="5"/>
  <c r="AH83" i="5" s="1"/>
  <c r="B6" i="4" l="1"/>
  <c r="C6" i="4"/>
  <c r="C6" i="1"/>
  <c r="D6" i="4"/>
  <c r="D6" i="1"/>
  <c r="B5" i="1"/>
  <c r="D5" i="1"/>
  <c r="C5" i="1"/>
  <c r="E6" i="4"/>
  <c r="B6" i="1"/>
  <c r="E5" i="1"/>
  <c r="E6" i="1"/>
  <c r="J6" i="1" l="1"/>
  <c r="O6" i="5"/>
  <c r="Q6" i="5"/>
  <c r="I6" i="1"/>
  <c r="R6" i="5"/>
  <c r="N6" i="5"/>
  <c r="J5" i="1"/>
  <c r="K6" i="5"/>
  <c r="Q5" i="5"/>
  <c r="H6" i="1"/>
  <c r="R5" i="5"/>
  <c r="L6" i="5"/>
  <c r="H6" i="5"/>
  <c r="I6" i="5" s="1"/>
  <c r="H5" i="1"/>
  <c r="L5" i="5"/>
  <c r="K5" i="5"/>
  <c r="G6" i="1"/>
  <c r="N5" i="5"/>
  <c r="O5" i="5"/>
  <c r="I5" i="1"/>
  <c r="H5" i="5"/>
  <c r="I5" i="5" s="1"/>
  <c r="G5" i="1"/>
  <c r="AH5" i="5" l="1"/>
  <c r="AH6" i="5"/>
</calcChain>
</file>

<file path=xl/comments1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<sst xmlns="http://schemas.openxmlformats.org/spreadsheetml/2006/main" count="608" uniqueCount="133">
  <si>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</si>
  <si>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</si>
  <si>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</si>
  <si>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</si>
  <si>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</si>
  <si>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</si>
  <si>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</si>
  <si>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</si>
  <si>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</si>
  <si>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</si>
  <si>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</si>
  <si>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</si>
  <si>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</si>
  <si>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</si>
  <si>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</si>
  <si>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</si>
  <si>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</si>
  <si>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</si>
  <si>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</si>
  <si>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</si>
  <si>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</si>
  <si>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</si>
  <si>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</si>
  <si>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</si>
  <si>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</si>
  <si>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</si>
  <si>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</si>
  <si>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</si>
  <si>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</si>
  <si>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</si>
  <si>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</si>
  <si>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</si>
  <si>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</si>
  <si>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</si>
  <si>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</si>
  <si>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</si>
  <si>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</si>
  <si>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</si>
  <si>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</si>
  <si>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</si>
  <si>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</si>
  <si>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</si>
  <si>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</si>
  <si>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</si>
  <si>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</si>
  <si>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</si>
  <si>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</si>
  <si>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</si>
  <si>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</si>
  <si>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</si>
  <si>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</si>
  <si>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</si>
  <si>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</si>
  <si>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</si>
  <si>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</si>
  <si>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</si>
  <si>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</si>
  <si>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</si>
  <si>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</si>
  <si>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</si>
  <si>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</si>
  <si>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</si>
  <si>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</si>
  <si>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</si>
  <si>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</si>
  <si>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</si>
  <si>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</si>
  <si>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</si>
  <si>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</si>
  <si>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</si>
  <si>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</si>
  <si>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</si>
  <si>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</si>
  <si>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</si>
  <si>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</si>
  <si>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</si>
  <si>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</si>
  <si>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</si>
  <si>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30/360 (Bond Basis)</t>
  </si>
  <si>
    <t>Settlement days</t>
  </si>
  <si>
    <t>Currency</t>
  </si>
  <si>
    <t>EUR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</si>
  <si>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</si>
  <si>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</si>
  <si>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</si>
  <si>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</si>
  <si>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</si>
  <si>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</si>
  <si>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</si>
  <si>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</si>
  <si>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</si>
  <si>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</si>
  <si>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</si>
  <si>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</si>
  <si>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</si>
  <si>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</si>
  <si>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</si>
  <si>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</si>
  <si>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</si>
  <si>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</si>
  <si>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</si>
  <si>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</si>
  <si>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</si>
  <si>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</si>
  <si>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</si>
  <si>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</si>
  <si>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</si>
  <si>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</si>
  <si>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</si>
  <si>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Actual/360</t>
  </si>
  <si>
    <t>0/-1</t>
  </si>
  <si>
    <t>MonotonicCubicNaturalSpline</t>
  </si>
  <si>
    <t>0D</t>
  </si>
  <si>
    <t>1D</t>
  </si>
  <si>
    <t>T</t>
  </si>
  <si>
    <t>TOM</t>
  </si>
  <si>
    <t>Following</t>
  </si>
  <si>
    <t>EUR FIX 1RM</t>
  </si>
  <si>
    <t>EUR 3M TEST</t>
  </si>
  <si>
    <t>EUR 6M TEST</t>
  </si>
  <si>
    <t>DTSIMI1</t>
  </si>
  <si>
    <t>SourceAlias</t>
  </si>
  <si>
    <t>disc</t>
  </si>
  <si>
    <t>fwd</t>
  </si>
  <si>
    <t>Value Date</t>
  </si>
  <si>
    <t>Fixing Date</t>
  </si>
  <si>
    <t>RIC Not Found</t>
  </si>
  <si>
    <t>Trigger</t>
  </si>
  <si>
    <t>EurON</t>
  </si>
  <si>
    <t>EUR6M</t>
  </si>
  <si>
    <t>EUR1M</t>
  </si>
  <si>
    <t>EUR3M</t>
  </si>
  <si>
    <t>EUR1Y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</si>
</sst>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ddd\,\ d\-mmm\-yyyy\,\ hh:mm:ss"/>
    <numFmt numFmtId="167" formatCode="0.000%"/>
    <numFmt numFmtId="168" formatCode="0.0000"/>
    <numFmt numFmtId="169" formatCode="0.0"/>
    <numFmt numFmtId="170" formatCode="#,##0_ ;\(#,##0\)\ "/>
    <numFmt numFmtId="171" formatCode="_([$€-2]* #,##0.00_);_([$€-2]* \(#,##0.00\);_([$€-2]* &quot;-&quot;??_)"/>
    <numFmt numFmtId="172" formatCode="##,#0_;\(#,##0\)\ "/>
    <numFmt numFmtId="173" formatCode="#,##0.0;#,##0.0"/>
    <numFmt numFmtId="174" formatCode="&quot;£&quot;\ #,##0;[Red]\-&quot;£&quot;\ #,##0"/>
    <numFmt numFmtId="175" formatCode="&quot;£&quot;\ #,##0.00;[Red]\-&quot;£&quot;\ #,##0.00"/>
    <numFmt numFmtId="176" formatCode="ddd\,\ dd\-mmm\-yyyy"/>
  </numFmts>
  <fonts count="3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b/>
      <sz val="11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170" fontId="16" fillId="0" borderId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8" fillId="0" borderId="0">
      <alignment horizontal="left" vertical="center" indent="1"/>
    </xf>
    <xf numFmtId="0" fontId="1" fillId="22" borderId="0" applyNumberFormat="0" applyBorder="0" applyAlignment="0" applyProtection="0"/>
    <xf numFmtId="171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23" borderId="4" applyNumberFormat="0" applyBorder="0" applyAlignment="0" applyProtection="0">
      <alignment textRotation="90"/>
    </xf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14" fillId="0" borderId="2" applyNumberFormat="0" applyFill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0" borderId="0"/>
    <xf numFmtId="0" fontId="26" fillId="0" borderId="0"/>
    <xf numFmtId="0" fontId="2" fillId="0" borderId="0"/>
    <xf numFmtId="0" fontId="24" fillId="0" borderId="0"/>
    <xf numFmtId="0" fontId="1" fillId="25" borderId="8" applyNumberFormat="0" applyFont="0" applyAlignment="0" applyProtection="0"/>
    <xf numFmtId="0" fontId="10" fillId="25" borderId="8" applyNumberFormat="0" applyFont="0" applyAlignment="0" applyProtection="0"/>
    <xf numFmtId="0" fontId="27" fillId="20" borderId="9" applyNumberFormat="0" applyAlignment="0" applyProtection="0"/>
    <xf numFmtId="9" fontId="1" fillId="0" borderId="0" applyFont="0" applyFill="0" applyBorder="0" applyAlignment="0" applyProtection="0"/>
    <xf numFmtId="172" fontId="16" fillId="0" borderId="0"/>
    <xf numFmtId="173" fontId="28" fillId="26" borderId="0">
      <alignment horizontal="center" vertical="center"/>
    </xf>
    <xf numFmtId="0" fontId="1" fillId="27" borderId="0" applyNumberFormat="0" applyBorder="0" applyAlignment="0">
      <protection locked="0"/>
    </xf>
    <xf numFmtId="0" fontId="1" fillId="0" borderId="0"/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" fillId="28" borderId="11" applyNumberFormat="0" applyFont="0" applyBorder="0" applyAlignment="0" applyProtection="0">
      <alignment horizontal="left"/>
    </xf>
    <xf numFmtId="0" fontId="1" fillId="29" borderId="0" applyNumberFormat="0" applyBorder="0" applyAlignment="0">
      <protection locked="0"/>
    </xf>
    <xf numFmtId="0" fontId="12" fillId="3" borderId="0" applyNumberFormat="0" applyBorder="0" applyAlignment="0" applyProtection="0"/>
    <xf numFmtId="0" fontId="18" fillId="4" borderId="0" applyNumberFormat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1" fillId="30" borderId="0" applyNumberFormat="0" applyFont="0" applyFill="0" applyBorder="0" applyProtection="0">
      <alignment horizontal="center" textRotation="90" wrapText="1"/>
    </xf>
    <xf numFmtId="0" fontId="29" fillId="0" borderId="0" applyNumberFormat="0" applyFill="0" applyBorder="0" applyAlignment="0" applyProtection="0"/>
  </cellStyleXfs>
  <cellXfs count="2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12" xfId="0" applyFont="1" applyBorder="1"/>
    <xf numFmtId="0" fontId="4" fillId="31" borderId="13" xfId="0" applyNumberFormat="1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 wrapText="1"/>
    </xf>
    <xf numFmtId="0" fontId="3" fillId="31" borderId="12" xfId="0" applyNumberFormat="1" applyFont="1" applyFill="1" applyBorder="1" applyAlignment="1"/>
    <xf numFmtId="0" fontId="3" fillId="31" borderId="14" xfId="0" applyFont="1" applyFill="1" applyBorder="1" applyAlignment="1">
      <alignment horizontal="left"/>
    </xf>
    <xf numFmtId="0" fontId="3" fillId="31" borderId="14" xfId="0" applyNumberFormat="1" applyFont="1" applyFill="1" applyBorder="1" applyAlignment="1">
      <alignment horizontal="center"/>
    </xf>
    <xf numFmtId="0" fontId="3" fillId="31" borderId="14" xfId="0" applyFont="1" applyFill="1" applyBorder="1" applyAlignment="1"/>
    <xf numFmtId="0" fontId="3" fillId="31" borderId="15" xfId="0" applyFont="1" applyFill="1" applyBorder="1" applyAlignment="1"/>
    <xf numFmtId="0" fontId="3" fillId="31" borderId="16" xfId="0" applyNumberFormat="1" applyFont="1" applyFill="1" applyBorder="1" applyAlignment="1"/>
    <xf numFmtId="0" fontId="3" fillId="31" borderId="17" xfId="0" applyFont="1" applyFill="1" applyBorder="1" applyAlignment="1">
      <alignment horizontal="left"/>
    </xf>
    <xf numFmtId="0" fontId="3" fillId="31" borderId="17" xfId="0" applyNumberFormat="1" applyFont="1" applyFill="1" applyBorder="1" applyAlignment="1">
      <alignment horizontal="center"/>
    </xf>
    <xf numFmtId="0" fontId="3" fillId="31" borderId="17" xfId="0" applyFont="1" applyFill="1" applyBorder="1" applyAlignment="1"/>
    <xf numFmtId="0" fontId="3" fillId="31" borderId="18" xfId="0" applyFont="1" applyFill="1" applyBorder="1" applyAlignment="1"/>
    <xf numFmtId="0" fontId="3" fillId="31" borderId="4" xfId="0" applyNumberFormat="1" applyFont="1" applyFill="1" applyBorder="1" applyAlignment="1"/>
    <xf numFmtId="0" fontId="3" fillId="31" borderId="19" xfId="0" applyFont="1" applyFill="1" applyBorder="1" applyAlignment="1">
      <alignment horizontal="left"/>
    </xf>
    <xf numFmtId="0" fontId="3" fillId="31" borderId="19" xfId="0" applyFont="1" applyFill="1" applyBorder="1" applyAlignment="1"/>
    <xf numFmtId="0" fontId="3" fillId="31" borderId="20" xfId="0" applyNumberFormat="1" applyFont="1" applyFill="1" applyBorder="1" applyAlignment="1"/>
    <xf numFmtId="0" fontId="3" fillId="31" borderId="0" xfId="0" applyFont="1" applyFill="1" applyBorder="1" applyAlignment="1">
      <alignment horizontal="left"/>
    </xf>
    <xf numFmtId="0" fontId="3" fillId="31" borderId="21" xfId="0" applyFont="1" applyFill="1" applyBorder="1" applyAlignment="1">
      <alignment horizontal="left"/>
    </xf>
    <xf numFmtId="0" fontId="3" fillId="31" borderId="0" xfId="0" applyNumberFormat="1" applyFont="1" applyFill="1" applyBorder="1" applyAlignment="1">
      <alignment horizontal="center"/>
    </xf>
    <xf numFmtId="0" fontId="3" fillId="31" borderId="0" xfId="0" applyFont="1" applyFill="1" applyBorder="1" applyAlignment="1"/>
    <xf numFmtId="0" fontId="3" fillId="28" borderId="0" xfId="0" applyFont="1" applyFill="1" applyBorder="1" applyAlignment="1">
      <alignment horizontal="left"/>
    </xf>
    <xf numFmtId="0" fontId="3" fillId="28" borderId="18" xfId="0" applyFont="1" applyFill="1" applyBorder="1" applyAlignment="1">
      <alignment horizontal="left"/>
    </xf>
    <xf numFmtId="0" fontId="3" fillId="31" borderId="16" xfId="0" applyNumberFormat="1" applyFont="1" applyFill="1" applyBorder="1" applyAlignment="1">
      <alignment horizontal="center"/>
    </xf>
    <xf numFmtId="0" fontId="3" fillId="0" borderId="17" xfId="0" applyFont="1" applyBorder="1"/>
    <xf numFmtId="168" fontId="3" fillId="0" borderId="0" xfId="0" applyNumberFormat="1" applyFont="1"/>
    <xf numFmtId="0" fontId="3" fillId="31" borderId="18" xfId="0" applyFont="1" applyFill="1" applyBorder="1" applyAlignment="1">
      <alignment horizontal="left"/>
    </xf>
    <xf numFmtId="168" fontId="3" fillId="0" borderId="17" xfId="0" applyNumberFormat="1" applyFont="1" applyBorder="1"/>
    <xf numFmtId="0" fontId="3" fillId="31" borderId="15" xfId="0" applyFont="1" applyFill="1" applyBorder="1" applyAlignment="1">
      <alignment horizontal="left"/>
    </xf>
    <xf numFmtId="164" fontId="3" fillId="0" borderId="0" xfId="0" applyNumberFormat="1" applyFont="1"/>
    <xf numFmtId="0" fontId="3" fillId="31" borderId="20" xfId="0" applyNumberFormat="1" applyFont="1" applyFill="1" applyBorder="1" applyAlignment="1">
      <alignment horizontal="center"/>
    </xf>
    <xf numFmtId="164" fontId="3" fillId="0" borderId="14" xfId="0" applyNumberFormat="1" applyFont="1" applyBorder="1"/>
    <xf numFmtId="0" fontId="3" fillId="0" borderId="14" xfId="0" applyFont="1" applyBorder="1"/>
    <xf numFmtId="164" fontId="3" fillId="0" borderId="15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0" fontId="3" fillId="31" borderId="0" xfId="0" applyFont="1" applyFill="1" applyBorder="1" applyAlignment="1">
      <alignment horizontal="center"/>
    </xf>
    <xf numFmtId="0" fontId="3" fillId="31" borderId="17" xfId="0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1" borderId="14" xfId="0" applyNumberFormat="1" applyFont="1" applyFill="1" applyBorder="1" applyAlignment="1">
      <alignment horizontal="right"/>
    </xf>
    <xf numFmtId="0" fontId="3" fillId="31" borderId="17" xfId="0" applyNumberFormat="1" applyFont="1" applyFill="1" applyBorder="1" applyAlignment="1">
      <alignment horizontal="right"/>
    </xf>
    <xf numFmtId="0" fontId="3" fillId="31" borderId="19" xfId="0" applyNumberFormat="1" applyFont="1" applyFill="1" applyBorder="1" applyAlignment="1">
      <alignment horizontal="right"/>
    </xf>
    <xf numFmtId="0" fontId="3" fillId="31" borderId="0" xfId="0" applyNumberFormat="1" applyFont="1" applyFill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31" borderId="11" xfId="0" applyFont="1" applyFill="1" applyBorder="1" applyAlignment="1">
      <alignment horizontal="center"/>
    </xf>
    <xf numFmtId="0" fontId="4" fillId="0" borderId="11" xfId="0" applyFont="1" applyBorder="1" applyAlignment="1"/>
    <xf numFmtId="165" fontId="3" fillId="0" borderId="14" xfId="0" applyNumberFormat="1" applyFont="1" applyBorder="1"/>
    <xf numFmtId="165" fontId="3" fillId="0" borderId="14" xfId="0" applyNumberFormat="1" applyFont="1" applyFill="1" applyBorder="1"/>
    <xf numFmtId="165" fontId="3" fillId="0" borderId="15" xfId="0" applyNumberFormat="1" applyFont="1" applyBorder="1"/>
    <xf numFmtId="0" fontId="3" fillId="0" borderId="0" xfId="0" applyFont="1" applyBorder="1"/>
    <xf numFmtId="165" fontId="3" fillId="0" borderId="12" xfId="0" applyNumberFormat="1" applyFont="1" applyBorder="1"/>
    <xf numFmtId="0" fontId="4" fillId="0" borderId="22" xfId="0" applyFont="1" applyBorder="1" applyAlignment="1"/>
    <xf numFmtId="165" fontId="3" fillId="0" borderId="17" xfId="0" applyNumberFormat="1" applyFont="1" applyBorder="1"/>
    <xf numFmtId="165" fontId="3" fillId="0" borderId="17" xfId="0" applyNumberFormat="1" applyFont="1" applyFill="1" applyBorder="1"/>
    <xf numFmtId="165" fontId="3" fillId="0" borderId="18" xfId="0" applyNumberFormat="1" applyFont="1" applyBorder="1"/>
    <xf numFmtId="165" fontId="3" fillId="0" borderId="16" xfId="0" applyNumberFormat="1" applyFont="1" applyBorder="1"/>
    <xf numFmtId="0" fontId="4" fillId="0" borderId="13" xfId="0" applyFont="1" applyBorder="1" applyAlignment="1"/>
    <xf numFmtId="165" fontId="3" fillId="0" borderId="19" xfId="0" applyNumberFormat="1" applyFont="1" applyBorder="1"/>
    <xf numFmtId="165" fontId="3" fillId="0" borderId="19" xfId="0" applyNumberFormat="1" applyFont="1" applyFill="1" applyBorder="1"/>
    <xf numFmtId="165" fontId="3" fillId="0" borderId="23" xfId="0" applyNumberFormat="1" applyFont="1" applyBorder="1"/>
    <xf numFmtId="0" fontId="4" fillId="0" borderId="24" xfId="0" applyFont="1" applyBorder="1" applyAlignment="1"/>
    <xf numFmtId="165" fontId="3" fillId="0" borderId="0" xfId="0" applyNumberFormat="1" applyFont="1" applyBorder="1"/>
    <xf numFmtId="165" fontId="3" fillId="0" borderId="0" xfId="0" applyNumberFormat="1" applyFont="1" applyFill="1" applyBorder="1"/>
    <xf numFmtId="165" fontId="3" fillId="0" borderId="21" xfId="0" applyNumberFormat="1" applyFont="1" applyBorder="1"/>
    <xf numFmtId="165" fontId="3" fillId="0" borderId="20" xfId="0" applyNumberFormat="1" applyFont="1" applyBorder="1"/>
    <xf numFmtId="165" fontId="3" fillId="0" borderId="18" xfId="0" applyNumberFormat="1" applyFont="1" applyFill="1" applyBorder="1"/>
    <xf numFmtId="165" fontId="3" fillId="0" borderId="21" xfId="0" applyNumberFormat="1" applyFont="1" applyFill="1" applyBorder="1"/>
    <xf numFmtId="168" fontId="3" fillId="0" borderId="12" xfId="0" applyNumberFormat="1" applyFont="1" applyBorder="1"/>
    <xf numFmtId="168" fontId="3" fillId="0" borderId="14" xfId="0" applyNumberFormat="1" applyFont="1" applyFill="1" applyBorder="1"/>
    <xf numFmtId="168" fontId="3" fillId="0" borderId="15" xfId="0" applyNumberFormat="1" applyFont="1" applyFill="1" applyBorder="1"/>
    <xf numFmtId="168" fontId="3" fillId="0" borderId="14" xfId="0" applyNumberFormat="1" applyFont="1" applyBorder="1"/>
    <xf numFmtId="168" fontId="3" fillId="0" borderId="20" xfId="0" applyNumberFormat="1" applyFont="1" applyBorder="1"/>
    <xf numFmtId="168" fontId="3" fillId="0" borderId="0" xfId="0" applyNumberFormat="1" applyFont="1" applyFill="1" applyBorder="1"/>
    <xf numFmtId="168" fontId="3" fillId="0" borderId="21" xfId="0" applyNumberFormat="1" applyFont="1" applyFill="1" applyBorder="1"/>
    <xf numFmtId="168" fontId="3" fillId="0" borderId="0" xfId="0" applyNumberFormat="1" applyFont="1" applyBorder="1"/>
    <xf numFmtId="168" fontId="3" fillId="0" borderId="16" xfId="0" applyNumberFormat="1" applyFont="1" applyBorder="1"/>
    <xf numFmtId="168" fontId="3" fillId="0" borderId="17" xfId="0" applyNumberFormat="1" applyFont="1" applyFill="1" applyBorder="1"/>
    <xf numFmtId="168" fontId="3" fillId="0" borderId="18" xfId="0" applyNumberFormat="1" applyFont="1" applyFill="1" applyBorder="1"/>
    <xf numFmtId="165" fontId="3" fillId="0" borderId="14" xfId="79" applyNumberFormat="1" applyFont="1" applyFill="1" applyBorder="1"/>
    <xf numFmtId="165" fontId="3" fillId="0" borderId="14" xfId="79" applyNumberFormat="1" applyFont="1" applyBorder="1"/>
    <xf numFmtId="165" fontId="3" fillId="0" borderId="17" xfId="79" applyNumberFormat="1" applyFont="1" applyFill="1" applyBorder="1"/>
    <xf numFmtId="165" fontId="3" fillId="0" borderId="17" xfId="79" applyNumberFormat="1" applyFont="1" applyBorder="1"/>
    <xf numFmtId="165" fontId="3" fillId="0" borderId="15" xfId="0" applyNumberFormat="1" applyFont="1" applyFill="1" applyBorder="1"/>
    <xf numFmtId="0" fontId="3" fillId="0" borderId="21" xfId="0" applyFont="1" applyBorder="1"/>
    <xf numFmtId="169" fontId="3" fillId="0" borderId="0" xfId="0" applyNumberFormat="1" applyFont="1" applyAlignment="1">
      <alignment horizontal="center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3" fillId="0" borderId="0" xfId="0" applyNumberFormat="1" applyFont="1"/>
    <xf numFmtId="0" fontId="3" fillId="0" borderId="18" xfId="0" applyFont="1" applyBorder="1"/>
    <xf numFmtId="0" fontId="5" fillId="0" borderId="0" xfId="0" applyFont="1" applyAlignment="1">
      <alignment horizontal="center"/>
    </xf>
    <xf numFmtId="0" fontId="6" fillId="30" borderId="0" xfId="74" applyFont="1" applyFill="1" applyAlignment="1">
      <alignment horizontal="left"/>
    </xf>
    <xf numFmtId="0" fontId="3" fillId="30" borderId="0" xfId="74" applyFont="1" applyFill="1"/>
    <xf numFmtId="0" fontId="3" fillId="31" borderId="25" xfId="0" applyFont="1" applyFill="1" applyBorder="1"/>
    <xf numFmtId="0" fontId="3" fillId="31" borderId="0" xfId="0" applyFont="1" applyFill="1" applyBorder="1"/>
    <xf numFmtId="0" fontId="3" fillId="31" borderId="26" xfId="0" applyFont="1" applyFill="1" applyBorder="1"/>
    <xf numFmtId="0" fontId="4" fillId="30" borderId="13" xfId="0" applyFont="1" applyFill="1" applyBorder="1"/>
    <xf numFmtId="166" fontId="3" fillId="0" borderId="23" xfId="0" applyNumberFormat="1" applyFont="1" applyFill="1" applyBorder="1" applyAlignment="1" applyProtection="1">
      <alignment horizontal="center"/>
    </xf>
    <xf numFmtId="166" fontId="3" fillId="33" borderId="23" xfId="0" applyNumberFormat="1" applyFont="1" applyFill="1" applyBorder="1" applyAlignment="1" applyProtection="1">
      <alignment horizontal="center"/>
    </xf>
    <xf numFmtId="0" fontId="3" fillId="31" borderId="27" xfId="0" applyFont="1" applyFill="1" applyBorder="1"/>
    <xf numFmtId="0" fontId="3" fillId="31" borderId="28" xfId="0" applyFont="1" applyFill="1" applyBorder="1"/>
    <xf numFmtId="0" fontId="3" fillId="31" borderId="29" xfId="0" applyFont="1" applyFill="1" applyBorder="1"/>
    <xf numFmtId="0" fontId="3" fillId="0" borderId="13" xfId="0" applyNumberFormat="1" applyFont="1" applyBorder="1" applyAlignment="1">
      <alignment horizontal="center"/>
    </xf>
    <xf numFmtId="0" fontId="4" fillId="30" borderId="13" xfId="0" applyFont="1" applyFill="1" applyBorder="1" applyProtection="1"/>
    <xf numFmtId="0" fontId="3" fillId="0" borderId="4" xfId="0" applyFont="1" applyBorder="1"/>
    <xf numFmtId="0" fontId="3" fillId="0" borderId="23" xfId="0" applyFont="1" applyBorder="1"/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1" borderId="13" xfId="0" applyFont="1" applyFill="1" applyBorder="1" applyAlignment="1">
      <alignment horizontal="center"/>
    </xf>
    <xf numFmtId="0" fontId="4" fillId="31" borderId="4" xfId="0" applyFont="1" applyFill="1" applyBorder="1" applyAlignment="1">
      <alignment horizontal="center"/>
    </xf>
    <xf numFmtId="0" fontId="3" fillId="0" borderId="19" xfId="0" applyFont="1" applyBorder="1"/>
    <xf numFmtId="0" fontId="4" fillId="31" borderId="19" xfId="0" applyFont="1" applyFill="1" applyBorder="1" applyAlignment="1">
      <alignment horizontal="center"/>
    </xf>
    <xf numFmtId="168" fontId="3" fillId="0" borderId="19" xfId="79" applyNumberFormat="1" applyFont="1" applyBorder="1"/>
    <xf numFmtId="168" fontId="3" fillId="0" borderId="23" xfId="79" applyNumberFormat="1" applyFont="1" applyBorder="1"/>
    <xf numFmtId="0" fontId="3" fillId="0" borderId="15" xfId="0" applyFont="1" applyBorder="1"/>
    <xf numFmtId="168" fontId="3" fillId="0" borderId="14" xfId="79" applyNumberFormat="1" applyFont="1" applyBorder="1"/>
    <xf numFmtId="168" fontId="3" fillId="0" borderId="15" xfId="79" applyNumberFormat="1" applyFont="1" applyBorder="1"/>
    <xf numFmtId="0" fontId="3" fillId="0" borderId="20" xfId="0" applyFont="1" applyBorder="1"/>
    <xf numFmtId="168" fontId="3" fillId="0" borderId="0" xfId="79" applyNumberFormat="1" applyFont="1" applyBorder="1"/>
    <xf numFmtId="168" fontId="3" fillId="0" borderId="21" xfId="79" applyNumberFormat="1" applyFont="1" applyBorder="1"/>
    <xf numFmtId="0" fontId="3" fillId="0" borderId="16" xfId="0" applyFont="1" applyBorder="1"/>
    <xf numFmtId="168" fontId="3" fillId="0" borderId="17" xfId="79" applyNumberFormat="1" applyFont="1" applyBorder="1"/>
    <xf numFmtId="168" fontId="3" fillId="0" borderId="18" xfId="79" applyNumberFormat="1" applyFont="1" applyBorder="1"/>
    <xf numFmtId="0" fontId="3" fillId="0" borderId="23" xfId="0" applyFont="1" applyBorder="1" applyProtection="1">
      <protection locked="0"/>
    </xf>
    <xf numFmtId="10" fontId="3" fillId="0" borderId="12" xfId="0" applyNumberFormat="1" applyFont="1" applyBorder="1" applyProtection="1"/>
    <xf numFmtId="10" fontId="3" fillId="0" borderId="14" xfId="0" applyNumberFormat="1" applyFont="1" applyFill="1" applyBorder="1" applyProtection="1"/>
    <xf numFmtId="10" fontId="3" fillId="0" borderId="15" xfId="0" applyNumberFormat="1" applyFont="1" applyBorder="1" applyProtection="1"/>
    <xf numFmtId="10" fontId="3" fillId="0" borderId="16" xfId="0" applyNumberFormat="1" applyFont="1" applyBorder="1" applyProtection="1"/>
    <xf numFmtId="10" fontId="3" fillId="0" borderId="17" xfId="0" applyNumberFormat="1" applyFont="1" applyFill="1" applyBorder="1" applyProtection="1"/>
    <xf numFmtId="10" fontId="3" fillId="0" borderId="18" xfId="0" applyNumberFormat="1" applyFont="1" applyBorder="1" applyProtection="1"/>
    <xf numFmtId="10" fontId="3" fillId="0" borderId="4" xfId="0" applyNumberFormat="1" applyFont="1" applyBorder="1" applyProtection="1"/>
    <xf numFmtId="10" fontId="3" fillId="0" borderId="19" xfId="0" applyNumberFormat="1" applyFont="1" applyFill="1" applyBorder="1" applyProtection="1"/>
    <xf numFmtId="10" fontId="3" fillId="0" borderId="23" xfId="0" applyNumberFormat="1" applyFont="1" applyBorder="1" applyProtection="1"/>
    <xf numFmtId="10" fontId="3" fillId="0" borderId="20" xfId="0" applyNumberFormat="1" applyFont="1" applyBorder="1" applyProtection="1"/>
    <xf numFmtId="10" fontId="3" fillId="0" borderId="0" xfId="0" applyNumberFormat="1" applyFont="1" applyFill="1" applyBorder="1" applyProtection="1"/>
    <xf numFmtId="10" fontId="3" fillId="0" borderId="21" xfId="0" applyNumberFormat="1" applyFont="1" applyBorder="1" applyProtection="1"/>
    <xf numFmtId="10" fontId="3" fillId="0" borderId="20" xfId="0" applyNumberFormat="1" applyFont="1" applyFill="1" applyBorder="1" applyProtection="1"/>
    <xf numFmtId="10" fontId="3" fillId="0" borderId="0" xfId="0" applyNumberFormat="1" applyFont="1" applyBorder="1" applyProtection="1"/>
    <xf numFmtId="10" fontId="3" fillId="0" borderId="17" xfId="0" applyNumberFormat="1" applyFont="1" applyBorder="1" applyProtection="1"/>
    <xf numFmtId="10" fontId="3" fillId="0" borderId="18" xfId="0" applyNumberFormat="1" applyFont="1" applyFill="1" applyBorder="1" applyProtection="1"/>
    <xf numFmtId="10" fontId="3" fillId="0" borderId="21" xfId="0" applyNumberFormat="1" applyFont="1" applyFill="1" applyBorder="1" applyProtection="1"/>
    <xf numFmtId="2" fontId="3" fillId="0" borderId="12" xfId="0" applyNumberFormat="1" applyFont="1" applyBorder="1" applyProtection="1"/>
    <xf numFmtId="2" fontId="3" fillId="0" borderId="14" xfId="0" applyNumberFormat="1" applyFont="1" applyFill="1" applyBorder="1" applyProtection="1"/>
    <xf numFmtId="2" fontId="3" fillId="0" borderId="15" xfId="0" applyNumberFormat="1" applyFont="1" applyFill="1" applyBorder="1" applyProtection="1"/>
    <xf numFmtId="2" fontId="3" fillId="0" borderId="20" xfId="0" applyNumberFormat="1" applyFont="1" applyBorder="1" applyProtection="1"/>
    <xf numFmtId="2" fontId="3" fillId="0" borderId="0" xfId="0" applyNumberFormat="1" applyFont="1" applyFill="1" applyBorder="1" applyProtection="1"/>
    <xf numFmtId="2" fontId="3" fillId="0" borderId="21" xfId="0" applyNumberFormat="1" applyFont="1" applyFill="1" applyBorder="1" applyProtection="1"/>
    <xf numFmtId="2" fontId="3" fillId="0" borderId="0" xfId="0" applyNumberFormat="1" applyFont="1" applyBorder="1" applyProtection="1"/>
    <xf numFmtId="2" fontId="3" fillId="0" borderId="16" xfId="0" applyNumberFormat="1" applyFont="1" applyBorder="1" applyProtection="1"/>
    <xf numFmtId="2" fontId="3" fillId="0" borderId="17" xfId="0" applyNumberFormat="1" applyFont="1" applyFill="1" applyBorder="1" applyProtection="1"/>
    <xf numFmtId="2" fontId="3" fillId="0" borderId="17" xfId="0" applyNumberFormat="1" applyFont="1" applyBorder="1" applyProtection="1"/>
    <xf numFmtId="2" fontId="3" fillId="0" borderId="18" xfId="0" applyNumberFormat="1" applyFont="1" applyFill="1" applyBorder="1" applyProtection="1"/>
    <xf numFmtId="10" fontId="3" fillId="0" borderId="14" xfId="0" applyNumberFormat="1" applyFont="1" applyBorder="1" applyProtection="1"/>
    <xf numFmtId="10" fontId="3" fillId="0" borderId="15" xfId="0" applyNumberFormat="1" applyFont="1" applyFill="1" applyBorder="1" applyProtection="1"/>
    <xf numFmtId="167" fontId="3" fillId="0" borderId="20" xfId="0" applyNumberFormat="1" applyFont="1" applyBorder="1" applyProtection="1"/>
    <xf numFmtId="167" fontId="3" fillId="0" borderId="0" xfId="0" applyNumberFormat="1" applyFont="1" applyBorder="1" applyProtection="1"/>
    <xf numFmtId="167" fontId="3" fillId="0" borderId="21" xfId="0" applyNumberFormat="1" applyFont="1" applyBorder="1" applyProtection="1"/>
    <xf numFmtId="167" fontId="3" fillId="0" borderId="16" xfId="0" applyNumberFormat="1" applyFont="1" applyBorder="1" applyProtection="1"/>
    <xf numFmtId="167" fontId="3" fillId="0" borderId="17" xfId="0" applyNumberFormat="1" applyFont="1" applyBorder="1" applyProtection="1"/>
    <xf numFmtId="167" fontId="3" fillId="0" borderId="18" xfId="0" applyNumberFormat="1" applyFont="1" applyBorder="1" applyProtection="1"/>
    <xf numFmtId="165" fontId="3" fillId="0" borderId="12" xfId="0" applyNumberFormat="1" applyFont="1" applyBorder="1" applyProtection="1">
      <protection locked="0"/>
    </xf>
    <xf numFmtId="165" fontId="3" fillId="0" borderId="14" xfId="0" applyNumberFormat="1" applyFont="1" applyFill="1" applyBorder="1" applyProtection="1">
      <protection locked="0"/>
    </xf>
    <xf numFmtId="165" fontId="3" fillId="0" borderId="15" xfId="0" applyNumberFormat="1" applyFont="1" applyBorder="1" applyProtection="1">
      <protection locked="0"/>
    </xf>
    <xf numFmtId="165" fontId="3" fillId="0" borderId="16" xfId="0" applyNumberFormat="1" applyFont="1" applyBorder="1" applyProtection="1">
      <protection locked="0"/>
    </xf>
    <xf numFmtId="165" fontId="3" fillId="0" borderId="17" xfId="0" applyNumberFormat="1" applyFont="1" applyFill="1" applyBorder="1" applyProtection="1">
      <protection locked="0"/>
    </xf>
    <xf numFmtId="165" fontId="3" fillId="0" borderId="18" xfId="0" applyNumberFormat="1" applyFont="1" applyBorder="1" applyProtection="1">
      <protection locked="0"/>
    </xf>
    <xf numFmtId="165" fontId="3" fillId="0" borderId="4" xfId="0" applyNumberFormat="1" applyFont="1" applyBorder="1" applyProtection="1">
      <protection locked="0"/>
    </xf>
    <xf numFmtId="165" fontId="3" fillId="0" borderId="19" xfId="0" applyNumberFormat="1" applyFont="1" applyFill="1" applyBorder="1" applyProtection="1">
      <protection locked="0"/>
    </xf>
    <xf numFmtId="165" fontId="3" fillId="0" borderId="23" xfId="0" applyNumberFormat="1" applyFont="1" applyBorder="1" applyProtection="1">
      <protection locked="0"/>
    </xf>
    <xf numFmtId="165" fontId="3" fillId="0" borderId="20" xfId="0" applyNumberFormat="1" applyFont="1" applyBorder="1" applyProtection="1">
      <protection locked="0"/>
    </xf>
    <xf numFmtId="165" fontId="3" fillId="0" borderId="0" xfId="0" applyNumberFormat="1" applyFont="1" applyFill="1" applyBorder="1" applyProtection="1">
      <protection locked="0"/>
    </xf>
    <xf numFmtId="165" fontId="3" fillId="0" borderId="21" xfId="0" applyNumberFormat="1" applyFont="1" applyBorder="1" applyProtection="1">
      <protection locked="0"/>
    </xf>
    <xf numFmtId="165" fontId="3" fillId="0" borderId="20" xfId="0" applyNumberFormat="1" applyFont="1" applyFill="1" applyBorder="1" applyProtection="1">
      <protection locked="0"/>
    </xf>
    <xf numFmtId="165" fontId="3" fillId="0" borderId="0" xfId="0" applyNumberFormat="1" applyFont="1" applyBorder="1" applyProtection="1">
      <protection locked="0"/>
    </xf>
    <xf numFmtId="165" fontId="3" fillId="0" borderId="17" xfId="0" applyNumberFormat="1" applyFont="1" applyBorder="1" applyProtection="1">
      <protection locked="0"/>
    </xf>
    <xf numFmtId="165" fontId="3" fillId="0" borderId="18" xfId="0" applyNumberFormat="1" applyFont="1" applyFill="1" applyBorder="1" applyProtection="1">
      <protection locked="0"/>
    </xf>
    <xf numFmtId="165" fontId="3" fillId="0" borderId="21" xfId="0" applyNumberFormat="1" applyFont="1" applyFill="1" applyBorder="1" applyProtection="1">
      <protection locked="0"/>
    </xf>
    <xf numFmtId="168" fontId="3" fillId="0" borderId="12" xfId="0" applyNumberFormat="1" applyFont="1" applyBorder="1" applyProtection="1">
      <protection locked="0"/>
    </xf>
    <xf numFmtId="168" fontId="3" fillId="0" borderId="14" xfId="0" applyNumberFormat="1" applyFont="1" applyFill="1" applyBorder="1" applyProtection="1">
      <protection locked="0"/>
    </xf>
    <xf numFmtId="168" fontId="3" fillId="0" borderId="14" xfId="0" applyNumberFormat="1" applyFont="1" applyBorder="1" applyProtection="1">
      <protection locked="0"/>
    </xf>
    <xf numFmtId="168" fontId="3" fillId="0" borderId="15" xfId="0" applyNumberFormat="1" applyFont="1" applyFill="1" applyBorder="1" applyProtection="1">
      <protection locked="0"/>
    </xf>
    <xf numFmtId="168" fontId="3" fillId="0" borderId="20" xfId="0" applyNumberFormat="1" applyFont="1" applyBorder="1" applyProtection="1">
      <protection locked="0"/>
    </xf>
    <xf numFmtId="168" fontId="3" fillId="0" borderId="0" xfId="0" applyNumberFormat="1" applyFont="1" applyFill="1" applyBorder="1" applyProtection="1">
      <protection locked="0"/>
    </xf>
    <xf numFmtId="168" fontId="3" fillId="0" borderId="0" xfId="0" applyNumberFormat="1" applyFont="1" applyBorder="1" applyProtection="1">
      <protection locked="0"/>
    </xf>
    <xf numFmtId="168" fontId="3" fillId="0" borderId="21" xfId="0" applyNumberFormat="1" applyFont="1" applyFill="1" applyBorder="1" applyProtection="1">
      <protection locked="0"/>
    </xf>
    <xf numFmtId="168" fontId="3" fillId="0" borderId="16" xfId="0" applyNumberFormat="1" applyFont="1" applyBorder="1" applyProtection="1">
      <protection locked="0"/>
    </xf>
    <xf numFmtId="168" fontId="3" fillId="0" borderId="17" xfId="0" applyNumberFormat="1" applyFont="1" applyFill="1" applyBorder="1" applyProtection="1">
      <protection locked="0"/>
    </xf>
    <xf numFmtId="168" fontId="3" fillId="0" borderId="17" xfId="0" applyNumberFormat="1" applyFont="1" applyBorder="1" applyProtection="1">
      <protection locked="0"/>
    </xf>
    <xf numFmtId="168" fontId="3" fillId="0" borderId="18" xfId="0" applyNumberFormat="1" applyFont="1" applyFill="1" applyBorder="1" applyProtection="1">
      <protection locked="0"/>
    </xf>
    <xf numFmtId="165" fontId="3" fillId="0" borderId="14" xfId="79" applyNumberFormat="1" applyFont="1" applyFill="1" applyBorder="1" applyProtection="1">
      <protection locked="0"/>
    </xf>
    <xf numFmtId="165" fontId="3" fillId="0" borderId="14" xfId="79" applyNumberFormat="1" applyFont="1" applyBorder="1" applyProtection="1">
      <protection locked="0"/>
    </xf>
    <xf numFmtId="165" fontId="3" fillId="0" borderId="17" xfId="79" applyNumberFormat="1" applyFont="1" applyFill="1" applyBorder="1" applyProtection="1">
      <protection locked="0"/>
    </xf>
    <xf numFmtId="165" fontId="3" fillId="0" borderId="17" xfId="79" applyNumberFormat="1" applyFont="1" applyBorder="1" applyProtection="1">
      <protection locked="0"/>
    </xf>
    <xf numFmtId="164" fontId="3" fillId="0" borderId="13" xfId="0" applyNumberFormat="1" applyFont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21" xfId="0" applyFont="1" applyFill="1" applyBorder="1"/>
    <xf numFmtId="0" fontId="3" fillId="0" borderId="17" xfId="0" applyFont="1" applyFill="1" applyBorder="1"/>
    <xf numFmtId="0" fontId="3" fillId="29" borderId="0" xfId="0" applyFont="1" applyFill="1" applyBorder="1"/>
    <xf numFmtId="0" fontId="3" fillId="29" borderId="17" xfId="0" applyFont="1" applyFill="1" applyBorder="1"/>
    <xf numFmtId="0" fontId="3" fillId="0" borderId="14" xfId="0" applyFont="1" applyFill="1" applyBorder="1"/>
    <xf numFmtId="0" fontId="3" fillId="0" borderId="19" xfId="0" applyFont="1" applyFill="1" applyBorder="1"/>
    <xf numFmtId="0" fontId="3" fillId="29" borderId="21" xfId="0" applyFont="1" applyFill="1" applyBorder="1"/>
    <xf numFmtId="0" fontId="3" fillId="29" borderId="18" xfId="0" applyFont="1" applyFill="1" applyBorder="1"/>
    <xf numFmtId="0" fontId="3" fillId="29" borderId="19" xfId="0" applyFont="1" applyFill="1" applyBorder="1"/>
    <xf numFmtId="0" fontId="3" fillId="29" borderId="14" xfId="0" applyFont="1" applyFill="1" applyBorder="1"/>
    <xf numFmtId="0" fontId="3" fillId="29" borderId="16" xfId="0" applyFont="1" applyFill="1" applyBorder="1"/>
    <xf numFmtId="2" fontId="3" fillId="0" borderId="0" xfId="0" applyNumberFormat="1" applyFont="1"/>
    <xf numFmtId="0" fontId="3" fillId="0" borderId="13" xfId="0" quotePrefix="1" applyFont="1" applyBorder="1"/>
    <xf numFmtId="176" fontId="3" fillId="31" borderId="20" xfId="0" applyNumberFormat="1" applyFont="1" applyFill="1" applyBorder="1" applyAlignment="1"/>
    <xf numFmtId="176" fontId="3" fillId="31" borderId="16" xfId="0" applyNumberFormat="1" applyFont="1" applyFill="1" applyBorder="1" applyAlignment="1"/>
    <xf numFmtId="168" fontId="3" fillId="0" borderId="0" xfId="0" applyNumberFormat="1" applyFont="1" applyAlignment="1">
      <alignment horizontal="left"/>
    </xf>
    <xf numFmtId="0" fontId="3" fillId="0" borderId="13" xfId="0" applyFont="1" applyBorder="1" applyAlignment="1" applyProtection="1">
      <alignment horizontal="center" vertical="center"/>
      <protection locked="0"/>
    </xf>
    <xf numFmtId="0" fontId="7" fillId="34" borderId="30" xfId="0" applyFont="1" applyFill="1" applyBorder="1" applyAlignment="1">
      <alignment horizontal="center"/>
    </xf>
    <xf numFmtId="0" fontId="7" fillId="34" borderId="31" xfId="0" applyFont="1" applyFill="1" applyBorder="1" applyAlignment="1">
      <alignment horizontal="center"/>
    </xf>
    <xf numFmtId="0" fontId="7" fillId="34" borderId="32" xfId="0" applyFont="1" applyFill="1" applyBorder="1" applyAlignment="1">
      <alignment horizontal="center"/>
    </xf>
    <xf numFmtId="0" fontId="4" fillId="31" borderId="4" xfId="0" applyNumberFormat="1" applyFont="1" applyFill="1" applyBorder="1" applyAlignment="1">
      <alignment horizontal="center" vertical="center"/>
    </xf>
    <xf numFmtId="0" fontId="4" fillId="31" borderId="19" xfId="0" applyNumberFormat="1" applyFont="1" applyFill="1" applyBorder="1" applyAlignment="1">
      <alignment horizontal="center" vertical="center"/>
    </xf>
    <xf numFmtId="0" fontId="4" fillId="31" borderId="23" xfId="0" applyNumberFormat="1" applyFont="1" applyFill="1" applyBorder="1" applyAlignment="1">
      <alignment horizontal="center" vertical="center"/>
    </xf>
  </cellXfs>
  <cellStyles count="10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Colore 1" xfId="7"/>
    <cellStyle name="20% - Colore 2" xfId="8"/>
    <cellStyle name="20% - Colore 3" xfId="9"/>
    <cellStyle name="20% - Colore 4" xfId="10"/>
    <cellStyle name="20% - Colore 5" xfId="11"/>
    <cellStyle name="20% - Colore 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Colore 1" xfId="19"/>
    <cellStyle name="40% - Colore 2" xfId="20"/>
    <cellStyle name="40% - Colore 3" xfId="21"/>
    <cellStyle name="40% - Colore 4" xfId="22"/>
    <cellStyle name="40% - Colore 5" xfId="23"/>
    <cellStyle name="40% - Colore 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Colore 1" xfId="31"/>
    <cellStyle name="60% - Colore 2" xfId="32"/>
    <cellStyle name="60% - Colore 3" xfId="33"/>
    <cellStyle name="60% - Colore 4" xfId="34"/>
    <cellStyle name="60% - Colore 5" xfId="35"/>
    <cellStyle name="60% - Colore 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olo" xfId="44"/>
    <cellStyle name="Calculation" xfId="45" builtinId="22" customBuiltin="1"/>
    <cellStyle name="Cella collegata" xfId="46"/>
    <cellStyle name="Cella da controllare" xfId="47"/>
    <cellStyle name="Check Cell" xfId="48" builtinId="23" customBuiltin="1"/>
    <cellStyle name="Ciccio" xfId="49"/>
    <cellStyle name="Colore 1" xfId="50"/>
    <cellStyle name="Colore 2" xfId="51"/>
    <cellStyle name="Colore 3" xfId="52"/>
    <cellStyle name="Colore 4" xfId="53"/>
    <cellStyle name="Colore 5" xfId="54"/>
    <cellStyle name="Colore 6" xfId="55"/>
    <cellStyle name="ContentsHyperlink" xfId="56"/>
    <cellStyle name="DataFeed" xfId="57"/>
    <cellStyle name="Euro" xfId="58"/>
    <cellStyle name="Explanatory Text" xfId="59" builtinId="53" customBuiltin="1"/>
    <cellStyle name="Good" xfId="60" builtinId="26" customBuiltin="1"/>
    <cellStyle name="Heading" xfId="61"/>
    <cellStyle name="Heading 1" xfId="62" builtinId="16" customBuiltin="1"/>
    <cellStyle name="Heading 2" xfId="63" builtinId="17" customBuiltin="1"/>
    <cellStyle name="Heading 3" xfId="64" builtinId="18" customBuiltin="1"/>
    <cellStyle name="Heading 4" xfId="65" builtinId="19" customBuiltin="1"/>
    <cellStyle name="Input" xfId="66" builtinId="20" customBuiltin="1"/>
    <cellStyle name="Linked Cell" xfId="67" builtinId="24" customBuiltin="1"/>
    <cellStyle name="Migliaia (0)_BENCH2" xfId="68"/>
    <cellStyle name="Migliaia_BENCH2" xfId="69"/>
    <cellStyle name="Neutral" xfId="70" builtinId="28" customBuiltin="1"/>
    <cellStyle name="Neutrale" xfId="71"/>
    <cellStyle name="Normal" xfId="0" builtinId="0"/>
    <cellStyle name="Normal 2" xfId="72"/>
    <cellStyle name="Normal 3" xfId="73"/>
    <cellStyle name="Normal_SwaptionATMVols" xfId="74"/>
    <cellStyle name="Normale_BENCH2" xfId="75"/>
    <cellStyle name="Nota" xfId="76"/>
    <cellStyle name="Note" xfId="77" builtinId="10" customBuiltin="1"/>
    <cellStyle name="Output" xfId="78" builtinId="21" customBuiltin="1"/>
    <cellStyle name="Percent" xfId="79" builtinId="5"/>
    <cellStyle name="Personal" xfId="80"/>
    <cellStyle name="result" xfId="81"/>
    <cellStyle name="StandingData" xfId="82"/>
    <cellStyle name="Style 1" xfId="83"/>
    <cellStyle name="Testo avviso" xfId="84"/>
    <cellStyle name="Testo descrittivo" xfId="85"/>
    <cellStyle name="Title" xfId="86" builtinId="15" customBuiltin="1"/>
    <cellStyle name="Titolo" xfId="87"/>
    <cellStyle name="Titolo 1" xfId="88"/>
    <cellStyle name="Titolo 2" xfId="89"/>
    <cellStyle name="Titolo 3" xfId="90"/>
    <cellStyle name="Titolo 4" xfId="91"/>
    <cellStyle name="Total" xfId="92" builtinId="25" customBuiltin="1"/>
    <cellStyle name="Totale" xfId="93"/>
    <cellStyle name="User" xfId="94"/>
    <cellStyle name="UserInput" xfId="95"/>
    <cellStyle name="Valore non valido" xfId="96"/>
    <cellStyle name="Valore valido" xfId="97"/>
    <cellStyle name="Valuta (0)_BENCH2" xfId="98"/>
    <cellStyle name="Valuta_BENCH2" xfId="99"/>
    <cellStyle name="VerticalText" xfId="100"/>
    <cellStyle name="Warning Text" xfId="10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08:41:19</v>
        <stp/>
        <stp>{3EA1DA47-DBB2-4A96-8521-8312BAB377C9}</stp>
        <tr r="AA5" s="5"/>
      </tp>
    </main>
    <main first="pldatasource.rdatartdserver">
      <tp t="s">
        <v>Paused at 08:41:19</v>
        <stp/>
        <stp>{A0FB72B0-FF1F-4B5C-AB85-D1CA4CBD480D}</stp>
        <tr r="U5" s="5"/>
      </tp>
      <tp t="s">
        <v>Paused at 08:41:19</v>
        <stp/>
        <stp>{E6CBDA23-4689-4D18-BEBA-76AFD3DDE6F4}</stp>
        <tr r="AD5" s="5"/>
      </tp>
      <tp t="s">
        <v>Paused at 08:41:19</v>
        <stp/>
        <stp>{269BC477-AA32-49FE-97E7-7379EEB166FF}</stp>
        <tr r="X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86427720098437E-2"/>
          <c:y val="6.2656794958086029E-2"/>
          <c:w val="0.87354480288776748"/>
          <c:h val="0.834588508841705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Pricing!$L$79:$L$136</c:f>
              <c:numCache>
                <c:formatCode>0.0000%</c:formatCode>
                <c:ptCount val="16"/>
                <c:pt idx="0">
                  <c:v>1.4900000000003719E-3</c:v>
                </c:pt>
                <c:pt idx="1">
                  <c:v>2.9499999999926703E-3</c:v>
                </c:pt>
                <c:pt idx="2">
                  <c:v>4.7700000000122471E-3</c:v>
                </c:pt>
                <c:pt idx="3">
                  <c:v>6.709999999904002E-3</c:v>
                </c:pt>
                <c:pt idx="4">
                  <c:v>8.5600000002911524E-3</c:v>
                </c:pt>
                <c:pt idx="5">
                  <c:v>1.026000000008903E-2</c:v>
                </c:pt>
                <c:pt idx="6">
                  <c:v>1.1790000000117406E-2</c:v>
                </c:pt>
                <c:pt idx="7">
                  <c:v>1.3139999999951763E-2</c:v>
                </c:pt>
                <c:pt idx="8">
                  <c:v>1.5519999999916755E-2</c:v>
                </c:pt>
                <c:pt idx="9">
                  <c:v>1.8049999999999324E-2</c:v>
                </c:pt>
                <c:pt idx="10">
                  <c:v>1.9849999999955271E-2</c:v>
                </c:pt>
                <c:pt idx="11">
                  <c:v>2.0500000000029415E-2</c:v>
                </c:pt>
                <c:pt idx="12">
                  <c:v>2.0869999999983513E-2</c:v>
                </c:pt>
                <c:pt idx="13">
                  <c:v>2.1759999999998926E-2</c:v>
                </c:pt>
                <c:pt idx="14">
                  <c:v>2.2479999999999997E-2</c:v>
                </c:pt>
                <c:pt idx="15">
                  <c:v>2.2900000000035812E-2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Pricing!$M$79:$M$136</c:f>
              <c:numCache>
                <c:formatCode>0.0000%</c:formatCode>
                <c:ptCount val="16"/>
                <c:pt idx="0">
                  <c:v>2.53000000004763E-3</c:v>
                </c:pt>
                <c:pt idx="1">
                  <c:v>4.0500000000250024E-3</c:v>
                </c:pt>
                <c:pt idx="2">
                  <c:v>5.9100000000162712E-3</c:v>
                </c:pt>
                <c:pt idx="3">
                  <c:v>7.8500000000516178E-3</c:v>
                </c:pt>
                <c:pt idx="4">
                  <c:v>9.6999999998910943E-3</c:v>
                </c:pt>
                <c:pt idx="5">
                  <c:v>1.1399999999919723E-2</c:v>
                </c:pt>
                <c:pt idx="6">
                  <c:v>1.2930000000297544E-2</c:v>
                </c:pt>
                <c:pt idx="7">
                  <c:v>1.4280000000103578E-2</c:v>
                </c:pt>
                <c:pt idx="8">
                  <c:v>1.6640000000008426E-2</c:v>
                </c:pt>
                <c:pt idx="9">
                  <c:v>1.9129999999986678E-2</c:v>
                </c:pt>
                <c:pt idx="10">
                  <c:v>2.0859999999936065E-2</c:v>
                </c:pt>
                <c:pt idx="11">
                  <c:v>2.1480000000024934E-2</c:v>
                </c:pt>
                <c:pt idx="12">
                  <c:v>2.1799999999980758E-2</c:v>
                </c:pt>
                <c:pt idx="13">
                  <c:v>2.2799999999999012E-2</c:v>
                </c:pt>
                <c:pt idx="14">
                  <c:v>2.3580000000009455E-2</c:v>
                </c:pt>
                <c:pt idx="15">
                  <c:v>2.4036000000000023E-2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Pricing!$N$79:$N$136</c:f>
              <c:numCache>
                <c:formatCode>0.0000%</c:formatCode>
                <c:ptCount val="16"/>
                <c:pt idx="0">
                  <c:v>4.0300000001994019E-3</c:v>
                </c:pt>
                <c:pt idx="1">
                  <c:v>5.5400000001031655E-3</c:v>
                </c:pt>
                <c:pt idx="2">
                  <c:v>7.3799999994862654E-3</c:v>
                </c:pt>
                <c:pt idx="3">
                  <c:v>9.2999999999211717E-3</c:v>
                </c:pt>
                <c:pt idx="4">
                  <c:v>1.112000000027003E-2</c:v>
                </c:pt>
                <c:pt idx="5">
                  <c:v>1.2780000000112823E-2</c:v>
                </c:pt>
                <c:pt idx="6">
                  <c:v>1.4269999999977464E-2</c:v>
                </c:pt>
                <c:pt idx="7">
                  <c:v>1.5580000000044539E-2</c:v>
                </c:pt>
                <c:pt idx="8">
                  <c:v>1.7860000000050037E-2</c:v>
                </c:pt>
                <c:pt idx="9">
                  <c:v>2.0209999999971525E-2</c:v>
                </c:pt>
                <c:pt idx="10">
                  <c:v>2.1779999999992472E-2</c:v>
                </c:pt>
                <c:pt idx="11">
                  <c:v>2.2279999999995352E-2</c:v>
                </c:pt>
                <c:pt idx="12">
                  <c:v>2.2530000000006933E-2</c:v>
                </c:pt>
                <c:pt idx="13">
                  <c:v>2.3419999999998251E-2</c:v>
                </c:pt>
                <c:pt idx="14">
                  <c:v>2.4140000000001032E-2</c:v>
                </c:pt>
                <c:pt idx="15">
                  <c:v>2.4560000000027504E-2</c:v>
                </c:pt>
              </c:numCache>
            </c:numRef>
          </c:yVal>
          <c:smooth val="1"/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Pricing!$O$79:$O$136</c:f>
              <c:numCache>
                <c:formatCode>0.0000%</c:formatCode>
                <c:ptCount val="16"/>
                <c:pt idx="0">
                  <c:v>5.9100000001747963E-3</c:v>
                </c:pt>
                <c:pt idx="1">
                  <c:v>7.2399999987818519E-3</c:v>
                </c:pt>
                <c:pt idx="2">
                  <c:v>8.9400000000000104E-3</c:v>
                </c:pt>
                <c:pt idx="3">
                  <c:v>1.0730000000000016E-2</c:v>
                </c:pt>
                <c:pt idx="4">
                  <c:v>1.2460000000046203E-2</c:v>
                </c:pt>
                <c:pt idx="5">
                  <c:v>1.404000000002455E-2</c:v>
                </c:pt>
                <c:pt idx="6">
                  <c:v>1.5470000000011879E-2</c:v>
                </c:pt>
                <c:pt idx="7">
                  <c:v>1.67300000000048E-2</c:v>
                </c:pt>
                <c:pt idx="8">
                  <c:v>1.8939999999997299E-2</c:v>
                </c:pt>
                <c:pt idx="9">
                  <c:v>2.1149999999999128E-2</c:v>
                </c:pt>
                <c:pt idx="10">
                  <c:v>2.2589999999962682E-2</c:v>
                </c:pt>
                <c:pt idx="11">
                  <c:v>2.3000000000025014E-2</c:v>
                </c:pt>
                <c:pt idx="12">
                  <c:v>2.3189999999985778E-2</c:v>
                </c:pt>
                <c:pt idx="13">
                  <c:v>2.4079999999998894E-2</c:v>
                </c:pt>
                <c:pt idx="14">
                  <c:v>2.4800000000000027E-2</c:v>
                </c:pt>
                <c:pt idx="15">
                  <c:v>2.5220000000043059E-2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802752"/>
        <c:axId val="889804672"/>
      </c:scatterChart>
      <c:valAx>
        <c:axId val="88980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889804672"/>
        <c:crosses val="autoZero"/>
        <c:crossBetween val="midCat"/>
      </c:valAx>
      <c:valAx>
        <c:axId val="889804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8898027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23</xdr:row>
      <xdr:rowOff>104775</xdr:rowOff>
    </xdr:from>
    <xdr:to>
      <xdr:col>25</xdr:col>
      <xdr:colOff>323850</xdr:colOff>
      <xdr:row>55</xdr:row>
      <xdr:rowOff>19050</xdr:rowOff>
    </xdr:to>
    <xdr:graphicFrame macro="">
      <xdr:nvGraphicFramePr>
        <xdr:cNvPr id="1432" name="Chart 3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ON"/>
      <sheetName val="Swap6M"/>
      <sheetName val="1M (3)"/>
      <sheetName val="3M (4)"/>
      <sheetName val="6M (3)"/>
      <sheetName val="1Y (3)"/>
    </sheetNames>
    <definedNames>
      <definedName name="TriggerCounter" refersTo="='General Settings'!$D$6"/>
    </definedNames>
    <sheetDataSet>
      <sheetData sheetId="0">
        <row r="6">
          <cell r="D6">
            <v>64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U4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U4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/>
      <sheetData sheetId="16">
        <row r="6">
          <cell r="D6" t="str">
            <v>6E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 t="str">
            <v>3E</v>
          </cell>
        </row>
      </sheetData>
      <sheetData sheetId="19">
        <row r="6">
          <cell r="D6" t="str">
            <v>6E</v>
          </cell>
        </row>
      </sheetData>
      <sheetData sheetId="20">
        <row r="6">
          <cell r="D6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1" sqref="D11"/>
    </sheetView>
  </sheetViews>
  <sheetFormatPr defaultColWidth="8" defaultRowHeight="11.25" x14ac:dyDescent="0.2"/>
  <cols>
    <col min="1" max="1" width="3.140625" style="102" customWidth="1"/>
    <col min="2" max="2" width="3.85546875" style="102" customWidth="1"/>
    <col min="3" max="3" width="28.140625" style="102" customWidth="1"/>
    <col min="4" max="4" width="17.28515625" style="102" bestFit="1" customWidth="1"/>
    <col min="5" max="5" width="3.42578125" style="102" customWidth="1"/>
    <col min="6" max="6" width="4.28515625" style="102" customWidth="1"/>
    <col min="7" max="16384" width="8" style="102"/>
  </cols>
  <sheetData>
    <row r="1" spans="2:22" ht="14.25" thickBot="1" x14ac:dyDescent="0.3">
      <c r="B1" s="101" t="str">
        <f>_xll.qlxlVersion(TRUE,EvaluationDate)</f>
        <v>QuantLibXL 1.5.0 - MS VC++ 9.0 - Multithreaded Dynamic Runtime library - Release Configuration - Aug  6 2014 11:45:43</v>
      </c>
    </row>
    <row r="2" spans="2:22" ht="16.5" x14ac:dyDescent="0.3">
      <c r="B2" s="223" t="s">
        <v>69</v>
      </c>
      <c r="C2" s="224"/>
      <c r="D2" s="224"/>
      <c r="E2" s="225"/>
      <c r="V2" s="102" t="s">
        <v>60</v>
      </c>
    </row>
    <row r="3" spans="2:22" x14ac:dyDescent="0.2">
      <c r="B3" s="103"/>
      <c r="C3" s="104"/>
      <c r="D3" s="104"/>
      <c r="E3" s="105"/>
    </row>
    <row r="4" spans="2:22" x14ac:dyDescent="0.2">
      <c r="B4" s="103"/>
      <c r="C4" s="106" t="s">
        <v>80</v>
      </c>
      <c r="D4" s="107" t="s">
        <v>81</v>
      </c>
      <c r="E4" s="105"/>
    </row>
    <row r="5" spans="2:22" x14ac:dyDescent="0.2">
      <c r="B5" s="103"/>
      <c r="C5" s="106" t="s">
        <v>61</v>
      </c>
      <c r="D5" s="107" t="str">
        <f>PROPER(Currency)&amp;IF(UPPER(Currency)="EUR","","L")&amp;"ibor"</f>
        <v>Euribor</v>
      </c>
      <c r="E5" s="105"/>
    </row>
    <row r="6" spans="2:22" x14ac:dyDescent="0.2">
      <c r="B6" s="103"/>
      <c r="C6" s="106" t="s">
        <v>62</v>
      </c>
      <c r="D6" s="108" t="str">
        <f>_xll.qlIndexFixingCalendar(D5&amp;"6M")</f>
        <v>TARGET</v>
      </c>
      <c r="E6" s="105"/>
    </row>
    <row r="7" spans="2:22" ht="12" thickBot="1" x14ac:dyDescent="0.25">
      <c r="B7" s="109"/>
      <c r="C7" s="110"/>
      <c r="D7" s="110"/>
      <c r="E7" s="111"/>
    </row>
    <row r="8" spans="2:22" ht="12" thickBot="1" x14ac:dyDescent="0.25"/>
    <row r="9" spans="2:22" ht="16.5" x14ac:dyDescent="0.3">
      <c r="B9" s="223" t="s">
        <v>71</v>
      </c>
      <c r="C9" s="224"/>
      <c r="D9" s="224"/>
      <c r="E9" s="225"/>
      <c r="V9" s="102" t="s">
        <v>60</v>
      </c>
    </row>
    <row r="10" spans="2:22" x14ac:dyDescent="0.2">
      <c r="B10" s="103"/>
      <c r="C10" s="104"/>
      <c r="D10" s="104"/>
      <c r="E10" s="105"/>
    </row>
    <row r="11" spans="2:22" x14ac:dyDescent="0.2">
      <c r="B11" s="103"/>
      <c r="C11" s="106" t="s">
        <v>127</v>
      </c>
      <c r="D11" s="204">
        <v>41892.359467592592</v>
      </c>
      <c r="E11" s="105"/>
    </row>
    <row r="12" spans="2:22" x14ac:dyDescent="0.2">
      <c r="B12" s="103"/>
      <c r="C12" s="106" t="s">
        <v>68</v>
      </c>
      <c r="D12" s="204">
        <f>_xll.qlSettingsEvaluationDate(Trigger)</f>
        <v>41892</v>
      </c>
      <c r="E12" s="105"/>
    </row>
    <row r="13" spans="2:22" x14ac:dyDescent="0.2">
      <c r="B13" s="103"/>
      <c r="C13" s="106" t="s">
        <v>107</v>
      </c>
      <c r="D13" s="97">
        <f>_xll.qlCalendarAdvance(Calendar,EvaluationDate,"1d","following",FALSE)</f>
        <v>41893</v>
      </c>
      <c r="E13" s="105"/>
    </row>
    <row r="14" spans="2:22" x14ac:dyDescent="0.2">
      <c r="B14" s="103"/>
      <c r="C14" s="106" t="s">
        <v>79</v>
      </c>
      <c r="D14" s="112">
        <v>2</v>
      </c>
      <c r="E14" s="105"/>
    </row>
    <row r="15" spans="2:22" x14ac:dyDescent="0.2">
      <c r="B15" s="103"/>
      <c r="C15" s="106" t="s">
        <v>67</v>
      </c>
      <c r="D15" s="97">
        <f>_xll.qlCalendarAdvance(Calendar,EvaluationDate,SettlementDays&amp;"d","following",FALSE)</f>
        <v>41894</v>
      </c>
      <c r="E15" s="105"/>
    </row>
    <row r="16" spans="2:22" x14ac:dyDescent="0.2">
      <c r="B16" s="103"/>
      <c r="C16" s="113" t="s">
        <v>70</v>
      </c>
      <c r="D16" s="222">
        <f>[1]!TriggerCounter</f>
        <v>64</v>
      </c>
      <c r="E16" s="105"/>
    </row>
    <row r="17" spans="2:5" ht="12" thickBot="1" x14ac:dyDescent="0.25">
      <c r="B17" s="109"/>
      <c r="C17" s="110"/>
      <c r="D17" s="110"/>
      <c r="E17" s="111"/>
    </row>
  </sheetData>
  <sheetProtection password="C760" sheet="1" objects="1" scenarios="1"/>
  <mergeCells count="2">
    <mergeCell ref="B2:E2"/>
    <mergeCell ref="B9:E9"/>
  </mergeCells>
  <phoneticPr fontId="2" type="noConversion"/>
  <dataValidations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37"/>
  <sheetViews>
    <sheetView workbookViewId="0"/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7" width="19.28515625" style="3" bestFit="1" customWidth="1"/>
    <col min="8" max="8" width="20.28515625" style="3" bestFit="1" customWidth="1"/>
    <col min="9" max="9" width="7" style="3" bestFit="1" customWidth="1"/>
    <col min="10" max="10" width="17.28515625" style="3" bestFit="1" customWidth="1"/>
    <col min="11" max="11" width="7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122</v>
      </c>
      <c r="B1" s="1" t="s">
        <v>128</v>
      </c>
      <c r="C1" s="1" t="s">
        <v>128</v>
      </c>
      <c r="D1" s="1" t="s">
        <v>128</v>
      </c>
      <c r="E1" s="1" t="s">
        <v>128</v>
      </c>
      <c r="F1" s="1"/>
      <c r="G1" s="218"/>
    </row>
    <row r="2" spans="1:8" x14ac:dyDescent="0.2">
      <c r="A2" s="1" t="s">
        <v>123</v>
      </c>
      <c r="B2" s="1" t="str">
        <f>Currency&amp;B$3&amp;$G$1</f>
        <v>EUR1M</v>
      </c>
      <c r="C2" s="1" t="str">
        <f>Currency&amp;C$3&amp;$G$1</f>
        <v>EUR3M</v>
      </c>
      <c r="D2" s="1" t="str">
        <f>Currency&amp;D$3&amp;$G$1</f>
        <v>EUR6M</v>
      </c>
      <c r="E2" s="1" t="str">
        <f>Currency&amp;E$3&amp;$G$1</f>
        <v>EUR1Y</v>
      </c>
    </row>
    <row r="3" spans="1:8" x14ac:dyDescent="0.2">
      <c r="A3" s="4"/>
      <c r="B3" s="5" t="s">
        <v>63</v>
      </c>
      <c r="C3" s="5" t="s">
        <v>64</v>
      </c>
      <c r="D3" s="5" t="s">
        <v>65</v>
      </c>
      <c r="E3" s="5" t="s">
        <v>0</v>
      </c>
      <c r="F3" s="226" t="s">
        <v>73</v>
      </c>
      <c r="G3" s="227"/>
      <c r="H3" s="228"/>
    </row>
    <row r="4" spans="1:8" ht="26.25" customHeight="1" x14ac:dyDescent="0.2">
      <c r="A4" s="6" t="s">
        <v>66</v>
      </c>
      <c r="B4" s="7" t="str">
        <f>Index1M</f>
        <v>obj_0064e#0000</v>
      </c>
      <c r="C4" s="7" t="str">
        <f>Index3M</f>
        <v>obj_00660#0000</v>
      </c>
      <c r="D4" s="7" t="str">
        <f>Index6M</f>
        <v>obj_00669#0000</v>
      </c>
      <c r="E4" s="7" t="str">
        <f>Index1Y</f>
        <v>obj_0066c#0000</v>
      </c>
      <c r="F4" s="6" t="s">
        <v>74</v>
      </c>
      <c r="G4" s="6" t="s">
        <v>75</v>
      </c>
      <c r="H4" s="6" t="s">
        <v>76</v>
      </c>
    </row>
    <row r="5" spans="1:8" x14ac:dyDescent="0.2">
      <c r="A5" s="8" t="s">
        <v>105</v>
      </c>
      <c r="B5" s="9" t="s">
        <v>111</v>
      </c>
      <c r="C5" s="9" t="s">
        <v>111</v>
      </c>
      <c r="D5" s="9" t="s">
        <v>111</v>
      </c>
      <c r="E5" s="9" t="s">
        <v>111</v>
      </c>
      <c r="F5" s="49">
        <v>-1</v>
      </c>
      <c r="G5" s="11"/>
      <c r="H5" s="12"/>
    </row>
    <row r="6" spans="1:8" x14ac:dyDescent="0.2">
      <c r="A6" s="13" t="s">
        <v>106</v>
      </c>
      <c r="B6" s="14" t="str">
        <f>_xll.qlInterpolation(,B5,$F$7:$F$11,Pricing!B7:B11)</f>
        <v>obj_00775#0063</v>
      </c>
      <c r="C6" s="14" t="str">
        <f>_xll.qlInterpolation(,C5,$F$7:$F$11,Pricing!C7:C11)</f>
        <v>obj_00776#0063</v>
      </c>
      <c r="D6" s="14" t="str">
        <f>_xll.qlInterpolation(,D5,$F$7:$F$11,Pricing!D7:D11)</f>
        <v>obj_00777#0063</v>
      </c>
      <c r="E6" s="14" t="str">
        <f>_xll.qlInterpolation(,E5,$F$7:$F$11,Pricing!E7:E11)</f>
        <v>obj_008da#0061</v>
      </c>
      <c r="F6" s="50">
        <v>0</v>
      </c>
      <c r="G6" s="16"/>
      <c r="H6" s="17"/>
    </row>
    <row r="7" spans="1:8" x14ac:dyDescent="0.2">
      <c r="A7" s="18" t="s">
        <v>90</v>
      </c>
      <c r="B7" s="19" t="str">
        <f>_xll.qlEonia(,B$2,,EvaluationDate)</f>
        <v>obj_00675#0000</v>
      </c>
      <c r="C7" s="19" t="str">
        <f>_xll.qlEonia(,C$2,,EvaluationDate)</f>
        <v>obj_00668#0000</v>
      </c>
      <c r="D7" s="19" t="str">
        <f>_xll.qlEonia(,D$2,,EvaluationDate)</f>
        <v>obj_0065c#0000</v>
      </c>
      <c r="E7" s="19" t="str">
        <f>_xll.qlEonia(,E$2,,EvaluationDate)</f>
        <v>obj_00651#0000</v>
      </c>
      <c r="F7" s="51">
        <v>1</v>
      </c>
      <c r="G7" s="20"/>
      <c r="H7" s="20"/>
    </row>
    <row r="8" spans="1:8" x14ac:dyDescent="0.2">
      <c r="A8" s="21" t="s">
        <v>108</v>
      </c>
      <c r="B8" s="22" t="str">
        <f>_xll.qlEuribor(,$A8,B$2,,EvaluationDate)</f>
        <v>obj_00657#0000</v>
      </c>
      <c r="C8" s="22" t="str">
        <f>_xll.qlEuribor(,$A8,C$2,,EvaluationDate)</f>
        <v>obj_0065b#0000</v>
      </c>
      <c r="D8" s="22" t="str">
        <f>_xll.qlEuribor(,$A8,D$2,,EvaluationDate)</f>
        <v>obj_00652#0000</v>
      </c>
      <c r="E8" s="23" t="str">
        <f>_xll.qlEuribor(,$A8,E$2,,EvaluationDate)</f>
        <v>obj_0064b#0000</v>
      </c>
      <c r="F8" s="52">
        <v>7</v>
      </c>
      <c r="G8" s="25"/>
      <c r="H8" s="25"/>
    </row>
    <row r="9" spans="1:8" x14ac:dyDescent="0.2">
      <c r="A9" s="21" t="s">
        <v>91</v>
      </c>
      <c r="B9" s="22" t="str">
        <f>_xll.qlEuribor(,$A9,B$2,,EvaluationDate)</f>
        <v>obj_0065d#0000</v>
      </c>
      <c r="C9" s="22" t="str">
        <f>_xll.qlEuribor(,$A9,C$2,,EvaluationDate)</f>
        <v>obj_0066f#0000</v>
      </c>
      <c r="D9" s="22" t="str">
        <f>_xll.qlEuribor(,$A9,D$2,,EvaluationDate)</f>
        <v>obj_00670#0000</v>
      </c>
      <c r="E9" s="23" t="str">
        <f>_xll.qlEuribor(,$A9,E$2,,EvaluationDate)</f>
        <v>obj_0065a#0000</v>
      </c>
      <c r="F9" s="52">
        <v>14</v>
      </c>
      <c r="G9" s="25"/>
      <c r="H9" s="25"/>
    </row>
    <row r="10" spans="1:8" x14ac:dyDescent="0.2">
      <c r="A10" s="21" t="s">
        <v>92</v>
      </c>
      <c r="B10" s="22" t="str">
        <f>_xll.qlEuribor(,$A10,B$2,,EvaluationDate)</f>
        <v>obj_00658#0000</v>
      </c>
      <c r="C10" s="22" t="str">
        <f>_xll.qlEuribor(,$A10,C$2,,EvaluationDate)</f>
        <v>obj_0065f#0000</v>
      </c>
      <c r="D10" s="22" t="str">
        <f>_xll.qlEuribor(,$A10,D$2,,EvaluationDate)</f>
        <v>obj_00649#0000</v>
      </c>
      <c r="E10" s="23" t="str">
        <f>_xll.qlEuribor(,$A10,E$2,,EvaluationDate)</f>
        <v>obj_0064f#0000</v>
      </c>
      <c r="F10" s="52">
        <v>21</v>
      </c>
      <c r="G10" s="25"/>
      <c r="H10" s="25"/>
    </row>
    <row r="11" spans="1:8" x14ac:dyDescent="0.2">
      <c r="A11" s="21" t="s">
        <v>63</v>
      </c>
      <c r="B11" s="26" t="str">
        <f>_xll.qlEuribor(,$A11,B$2,,EvaluationDate)</f>
        <v>obj_0064e#0000</v>
      </c>
      <c r="C11" s="22" t="str">
        <f>_xll.qlEuribor(,$A11,C$2,,EvaluationDate)</f>
        <v>obj_00664#0000</v>
      </c>
      <c r="D11" s="22" t="str">
        <f>_xll.qlEuribor(,$A11,D$2,,EvaluationDate)</f>
        <v>obj_0066a#0000</v>
      </c>
      <c r="E11" s="23" t="str">
        <f>_xll.qlEuribor(,$A11,E$2,,EvaluationDate)</f>
        <v>obj_00671#0000</v>
      </c>
      <c r="F11" s="52">
        <v>30</v>
      </c>
      <c r="G11" s="25"/>
      <c r="H11" s="25"/>
    </row>
    <row r="12" spans="1:8" x14ac:dyDescent="0.2">
      <c r="A12" s="21" t="s">
        <v>82</v>
      </c>
      <c r="B12" s="22" t="str">
        <f>_xll.qlEuribor(,$A12,B$2,,EvaluationDate)</f>
        <v>obj_0064a#0000</v>
      </c>
      <c r="C12" s="22" t="str">
        <f>_xll.qlEuribor(,$A12,C$2,,EvaluationDate)</f>
        <v>obj_00666#0000</v>
      </c>
      <c r="D12" s="22" t="str">
        <f>_xll.qlEuribor(,$A12,D$2,,EvaluationDate)</f>
        <v>obj_0066d#0000</v>
      </c>
      <c r="E12" s="23" t="str">
        <f>_xll.qlEuribor(,$A12,E$2,,EvaluationDate)</f>
        <v>obj_00647#0000</v>
      </c>
      <c r="F12" s="52"/>
      <c r="G12" s="25"/>
      <c r="H12" s="25"/>
    </row>
    <row r="13" spans="1:8" x14ac:dyDescent="0.2">
      <c r="A13" s="21" t="s">
        <v>64</v>
      </c>
      <c r="B13" s="22" t="str">
        <f>_xll.qlEuribor(,$A13,B$2,,EvaluationDate)</f>
        <v>obj_00672#0000</v>
      </c>
      <c r="C13" s="26" t="str">
        <f>_xll.qlEuribor(,$A13,C$2,,EvaluationDate)</f>
        <v>obj_00660#0000</v>
      </c>
      <c r="D13" s="22" t="str">
        <f>_xll.qlEuribor(,$A13,D$2,,EvaluationDate)</f>
        <v>obj_00648#0000</v>
      </c>
      <c r="E13" s="23" t="str">
        <f>_xll.qlEuribor(,$A13,E$2,,EvaluationDate)</f>
        <v>obj_00650#0000</v>
      </c>
      <c r="F13" s="24"/>
      <c r="G13" s="25"/>
      <c r="H13" s="25"/>
    </row>
    <row r="14" spans="1:8" x14ac:dyDescent="0.2">
      <c r="A14" s="21" t="s">
        <v>83</v>
      </c>
      <c r="B14" s="22" t="str">
        <f>_xll.qlEuribor(,$A14,B$2,,EvaluationDate)</f>
        <v>obj_0064d#0000</v>
      </c>
      <c r="C14" s="22"/>
      <c r="D14" s="22" t="str">
        <f>_xll.qlEuribor(,$A14,D$2,,EvaluationDate)</f>
        <v>obj_00674#0000</v>
      </c>
      <c r="E14" s="23" t="str">
        <f>_xll.qlEuribor(,$A14,E$2,,EvaluationDate)</f>
        <v>obj_00655#0000</v>
      </c>
      <c r="F14" s="24"/>
      <c r="G14" s="25"/>
      <c r="H14" s="25"/>
    </row>
    <row r="15" spans="1:8" x14ac:dyDescent="0.2">
      <c r="A15" s="21" t="s">
        <v>84</v>
      </c>
      <c r="B15" s="22" t="str">
        <f>_xll.qlEuribor(,$A15,B$2,,EvaluationDate)</f>
        <v>obj_00667#0000</v>
      </c>
      <c r="C15" s="22"/>
      <c r="D15" s="22" t="str">
        <f>_xll.qlEuribor(,$A15,D$2,,EvaluationDate)</f>
        <v>obj_00661#0000</v>
      </c>
      <c r="E15" s="23" t="str">
        <f>_xll.qlEuribor(,$A15,E$2,,EvaluationDate)</f>
        <v>obj_00656#0000</v>
      </c>
      <c r="F15" s="24"/>
      <c r="G15" s="25"/>
      <c r="H15" s="25"/>
    </row>
    <row r="16" spans="1:8" x14ac:dyDescent="0.2">
      <c r="A16" s="21" t="s">
        <v>65</v>
      </c>
      <c r="B16" s="22" t="str">
        <f>_xll.qlEuribor(,$A16,B$2,,EvaluationDate)</f>
        <v>obj_00665#0000</v>
      </c>
      <c r="C16" s="22"/>
      <c r="D16" s="26" t="str">
        <f>_xll.qlEuribor(,$A16,D$2,,EvaluationDate)</f>
        <v>obj_00669#0000</v>
      </c>
      <c r="E16" s="23" t="str">
        <f>_xll.qlEuribor(,$A16,E$2,,EvaluationDate)</f>
        <v>obj_00676#0000</v>
      </c>
      <c r="F16" s="24"/>
      <c r="G16" s="25"/>
      <c r="H16" s="25"/>
    </row>
    <row r="17" spans="1:14" x14ac:dyDescent="0.2">
      <c r="A17" s="21" t="s">
        <v>85</v>
      </c>
      <c r="B17" s="22" t="str">
        <f>_xll.qlEuribor(,$A17,B$2,,EvaluationDate)</f>
        <v>obj_0065e#0000</v>
      </c>
      <c r="C17" s="22"/>
      <c r="D17" s="22"/>
      <c r="E17" s="23" t="str">
        <f>_xll.qlEuribor(,$A17,E$2,,EvaluationDate)</f>
        <v>obj_0064c#0000</v>
      </c>
      <c r="F17" s="24"/>
      <c r="G17" s="25"/>
      <c r="H17" s="25"/>
    </row>
    <row r="18" spans="1:14" x14ac:dyDescent="0.2">
      <c r="A18" s="21" t="s">
        <v>86</v>
      </c>
      <c r="B18" s="22" t="str">
        <f>_xll.qlEuribor(,$A18,B$2,,EvaluationDate)</f>
        <v>obj_00646#0000</v>
      </c>
      <c r="C18" s="22"/>
      <c r="D18" s="22"/>
      <c r="E18" s="23" t="str">
        <f>_xll.qlEuribor(,$A18,E$2,,EvaluationDate)</f>
        <v>obj_00654#0000</v>
      </c>
      <c r="F18" s="24"/>
      <c r="G18" s="25"/>
      <c r="H18" s="25"/>
    </row>
    <row r="19" spans="1:14" x14ac:dyDescent="0.2">
      <c r="A19" s="21" t="s">
        <v>87</v>
      </c>
      <c r="B19" s="22" t="str">
        <f>_xll.qlEuribor(,$A19,B$2,,EvaluationDate)</f>
        <v>obj_00662#0000</v>
      </c>
      <c r="C19" s="22"/>
      <c r="D19" s="22"/>
      <c r="E19" s="23" t="str">
        <f>_xll.qlEuribor(,$A19,E$2,,EvaluationDate)</f>
        <v>obj_0066e#0000</v>
      </c>
      <c r="F19" s="24"/>
      <c r="G19" s="25"/>
      <c r="H19" s="25"/>
    </row>
    <row r="20" spans="1:14" x14ac:dyDescent="0.2">
      <c r="A20" s="21" t="s">
        <v>88</v>
      </c>
      <c r="B20" s="22" t="str">
        <f>_xll.qlEuribor(,$A20,B$2,,EvaluationDate)</f>
        <v>obj_00653#0000</v>
      </c>
      <c r="C20" s="22"/>
      <c r="D20" s="22"/>
      <c r="E20" s="23" t="str">
        <f>_xll.qlEuribor(,$A20,E$2,,EvaluationDate)</f>
        <v>obj_0066b#0000</v>
      </c>
      <c r="F20" s="24"/>
      <c r="G20" s="25"/>
      <c r="H20" s="25"/>
    </row>
    <row r="21" spans="1:14" x14ac:dyDescent="0.2">
      <c r="A21" s="21" t="s">
        <v>89</v>
      </c>
      <c r="B21" s="22" t="str">
        <f>_xll.qlEuribor(,$A21,B$2,,EvaluationDate)</f>
        <v>obj_00673#0000</v>
      </c>
      <c r="C21" s="22"/>
      <c r="D21" s="22"/>
      <c r="E21" s="23" t="str">
        <f>_xll.qlEuribor(,$A21,E$2,,EvaluationDate)</f>
        <v>obj_00663#0000</v>
      </c>
      <c r="F21" s="24"/>
      <c r="G21" s="25"/>
      <c r="H21" s="25"/>
    </row>
    <row r="22" spans="1:14" x14ac:dyDescent="0.2">
      <c r="A22" s="13" t="s">
        <v>0</v>
      </c>
      <c r="B22" s="14" t="str">
        <f>_xll.qlEuribor(,$A22,B$2,,EvaluationDate)</f>
        <v>obj_00659#0000</v>
      </c>
      <c r="C22" s="14"/>
      <c r="D22" s="14"/>
      <c r="E22" s="27" t="str">
        <f>_xll.qlEuribor(,$A22,E$2,,EvaluationDate)</f>
        <v>obj_0066c#0000</v>
      </c>
      <c r="F22" s="28"/>
      <c r="G22" s="16"/>
      <c r="H22" s="16"/>
      <c r="I22" s="29"/>
    </row>
    <row r="23" spans="1:14" x14ac:dyDescent="0.2">
      <c r="A23" s="219">
        <f>_xll.qlCalendarAdvance(Calendar,A24,"-1D","Preceding")</f>
        <v>42003</v>
      </c>
      <c r="B23" s="22"/>
      <c r="C23" s="22"/>
      <c r="D23" s="22"/>
      <c r="E23" s="23"/>
      <c r="F23" s="24"/>
      <c r="G23" s="25"/>
      <c r="H23" s="25" t="s">
        <v>109</v>
      </c>
      <c r="I23" s="30">
        <f>_xll.qlDayCounterYearFraction(H23,SettlementDate,Indexes!A23)</f>
        <v>0.30277777777777776</v>
      </c>
    </row>
    <row r="24" spans="1:14" x14ac:dyDescent="0.2">
      <c r="A24" s="219">
        <f>_xll.qlCalendarAdjust(Calendar,DATE(YEAR(SettlementDate),12,31),"Preceding")</f>
        <v>42004</v>
      </c>
      <c r="B24" s="22"/>
      <c r="C24" s="22"/>
      <c r="D24" s="22"/>
      <c r="E24" s="23"/>
      <c r="F24" s="24"/>
      <c r="G24" s="25"/>
      <c r="H24" s="25" t="s">
        <v>109</v>
      </c>
      <c r="I24" s="30">
        <f>_xll.qlDayCounterYearFraction(H24,SettlementDate,Indexes!A24)</f>
        <v>0.30555555555555558</v>
      </c>
    </row>
    <row r="25" spans="1:14" x14ac:dyDescent="0.2">
      <c r="A25" s="219">
        <f>_xll.qlCalendarAdvance(Calendar,A24,"1D","Following")</f>
        <v>42006</v>
      </c>
      <c r="B25" s="22"/>
      <c r="C25" s="22"/>
      <c r="D25" s="22"/>
      <c r="E25" s="23"/>
      <c r="F25" s="24"/>
      <c r="G25" s="25"/>
      <c r="H25" s="25" t="s">
        <v>109</v>
      </c>
      <c r="I25" s="30">
        <f>_xll.qlDayCounterYearFraction(H25,SettlementDate,Indexes!A25)</f>
        <v>0.31111111111111112</v>
      </c>
    </row>
    <row r="26" spans="1:14" x14ac:dyDescent="0.2">
      <c r="A26" s="220">
        <f>_xll.qlCalendarAdvance(Calendar,A25,"1D","Following")</f>
        <v>42009</v>
      </c>
      <c r="B26" s="14"/>
      <c r="C26" s="14"/>
      <c r="D26" s="14"/>
      <c r="E26" s="31"/>
      <c r="F26" s="28"/>
      <c r="G26" s="16"/>
      <c r="H26" s="16" t="s">
        <v>109</v>
      </c>
      <c r="I26" s="32">
        <f>_xll.qlDayCounterYearFraction(H26,SettlementDate,Indexes!A26)</f>
        <v>0.31944444444444442</v>
      </c>
    </row>
    <row r="27" spans="1:14" x14ac:dyDescent="0.2">
      <c r="A27" s="219">
        <f>_xll.qlCalendarAdvance(Calendar,A28,"-1D","Preceding")</f>
        <v>42368</v>
      </c>
      <c r="B27" s="22"/>
      <c r="C27" s="22"/>
      <c r="D27" s="22"/>
      <c r="E27" s="23"/>
      <c r="F27" s="24"/>
      <c r="G27" s="25"/>
      <c r="H27" s="25" t="s">
        <v>109</v>
      </c>
      <c r="I27" s="30">
        <f>_xll.qlDayCounterYearFraction(H27,SettlementDate,Indexes!A27)</f>
        <v>1.3166666666666667</v>
      </c>
    </row>
    <row r="28" spans="1:14" x14ac:dyDescent="0.2">
      <c r="A28" s="219">
        <f>_xll.qlCalendarAdjust(Calendar,DATE(YEAR(A26),12,31),"Preceding")</f>
        <v>42369</v>
      </c>
      <c r="B28" s="22"/>
      <c r="C28" s="22"/>
      <c r="D28" s="22"/>
      <c r="E28" s="23"/>
      <c r="F28" s="24"/>
      <c r="G28" s="25"/>
      <c r="H28" s="25" t="s">
        <v>109</v>
      </c>
      <c r="I28" s="30">
        <f>_xll.qlDayCounterYearFraction(H28,SettlementDate,Indexes!A28)</f>
        <v>1.3194444444444444</v>
      </c>
    </row>
    <row r="29" spans="1:14" x14ac:dyDescent="0.2">
      <c r="A29" s="219">
        <f>_xll.qlCalendarAdvance(Calendar,A28,"1D","Following")</f>
        <v>42373</v>
      </c>
      <c r="B29" s="22"/>
      <c r="C29" s="22"/>
      <c r="D29" s="22"/>
      <c r="E29" s="23"/>
      <c r="F29" s="24"/>
      <c r="G29" s="25"/>
      <c r="H29" s="25" t="s">
        <v>109</v>
      </c>
      <c r="I29" s="30">
        <f>_xll.qlDayCounterYearFraction(H29,SettlementDate,Indexes!A29)</f>
        <v>1.3305555555555555</v>
      </c>
    </row>
    <row r="30" spans="1:14" ht="12" x14ac:dyDescent="0.25">
      <c r="A30" s="220">
        <f>_xll.qlCalendarAdvance(Calendar,A29,"1D","Following")</f>
        <v>42374</v>
      </c>
      <c r="B30" s="14"/>
      <c r="C30" s="14"/>
      <c r="D30" s="14"/>
      <c r="E30" s="31"/>
      <c r="F30" s="28"/>
      <c r="G30" s="16"/>
      <c r="H30" s="16" t="s">
        <v>109</v>
      </c>
      <c r="I30" s="32">
        <f>_xll.qlDayCounterYearFraction(H30,SettlementDate,Indexes!A30)</f>
        <v>1.3333333333333333</v>
      </c>
      <c r="J30" s="100" t="s">
        <v>125</v>
      </c>
      <c r="N30" s="100" t="s">
        <v>124</v>
      </c>
    </row>
    <row r="31" spans="1:14" x14ac:dyDescent="0.2">
      <c r="A31" s="8" t="str">
        <f t="array" ref="A31:A50">_xll.qlIMMNextCodes(EvaluationDate,I31:I50)</f>
        <v>U4</v>
      </c>
      <c r="B31" s="9"/>
      <c r="C31" s="9"/>
      <c r="D31" s="9"/>
      <c r="E31" s="33"/>
      <c r="F31" s="24"/>
      <c r="G31" s="25"/>
      <c r="H31" s="25"/>
      <c r="I31" s="3" t="b">
        <v>0</v>
      </c>
      <c r="J31" s="34">
        <f>_xll.qlInterestRateIndexFixingDate(Index3M,N31)</f>
        <v>41897</v>
      </c>
      <c r="N31" s="34">
        <f>_xll.qlIMMdate(A31)</f>
        <v>41899</v>
      </c>
    </row>
    <row r="32" spans="1:14" x14ac:dyDescent="0.2">
      <c r="A32" s="21" t="str">
        <v>V4</v>
      </c>
      <c r="B32" s="22"/>
      <c r="C32" s="22"/>
      <c r="D32" s="22"/>
      <c r="E32" s="23"/>
      <c r="F32" s="24"/>
      <c r="G32" s="25"/>
      <c r="H32" s="25"/>
      <c r="I32" s="3" t="b">
        <v>0</v>
      </c>
      <c r="J32" s="34">
        <f>_xll.qlInterestRateIndexFixingDate(Index3M,N32)</f>
        <v>41925</v>
      </c>
      <c r="N32" s="34">
        <f>_xll.qlIMMdate(A32)</f>
        <v>41927</v>
      </c>
    </row>
    <row r="33" spans="1:14" x14ac:dyDescent="0.2">
      <c r="A33" s="21" t="str">
        <v>X4</v>
      </c>
      <c r="B33" s="22"/>
      <c r="C33" s="22"/>
      <c r="D33" s="22"/>
      <c r="E33" s="23"/>
      <c r="F33" s="24"/>
      <c r="G33" s="25"/>
      <c r="H33" s="25"/>
      <c r="I33" s="3" t="b">
        <v>0</v>
      </c>
      <c r="J33" s="34">
        <f>_xll.qlInterestRateIndexFixingDate(Index3M,N33)</f>
        <v>41960</v>
      </c>
      <c r="N33" s="34">
        <f>_xll.qlIMMdate(A33)</f>
        <v>41962</v>
      </c>
    </row>
    <row r="34" spans="1:14" x14ac:dyDescent="0.2">
      <c r="A34" s="21" t="str">
        <v>Z4</v>
      </c>
      <c r="B34" s="22"/>
      <c r="C34" s="22"/>
      <c r="D34" s="22"/>
      <c r="E34" s="23"/>
      <c r="F34" s="24"/>
      <c r="G34" s="25"/>
      <c r="H34" s="25"/>
      <c r="I34" s="3" t="b">
        <v>0</v>
      </c>
      <c r="J34" s="34">
        <f>_xll.qlInterestRateIndexFixingDate(Index3M,N34)</f>
        <v>41988</v>
      </c>
      <c r="N34" s="34">
        <f>_xll.qlIMMdate(A34)</f>
        <v>41990</v>
      </c>
    </row>
    <row r="35" spans="1:14" x14ac:dyDescent="0.2">
      <c r="A35" s="21" t="str">
        <v>F5</v>
      </c>
      <c r="B35" s="22"/>
      <c r="C35" s="22"/>
      <c r="D35" s="22"/>
      <c r="E35" s="23"/>
      <c r="F35" s="24"/>
      <c r="G35" s="25"/>
      <c r="H35" s="25"/>
      <c r="I35" s="3" t="b">
        <v>0</v>
      </c>
      <c r="J35" s="34">
        <f>_xll.qlInterestRateIndexFixingDate(Index3M,N35)</f>
        <v>42023</v>
      </c>
      <c r="N35" s="34">
        <f>_xll.qlIMMdate(A35)</f>
        <v>42025</v>
      </c>
    </row>
    <row r="36" spans="1:14" x14ac:dyDescent="0.2">
      <c r="A36" s="21" t="str">
        <v>G5</v>
      </c>
      <c r="B36" s="22"/>
      <c r="C36" s="22"/>
      <c r="D36" s="22"/>
      <c r="E36" s="23"/>
      <c r="F36" s="24"/>
      <c r="G36" s="25"/>
      <c r="H36" s="25"/>
      <c r="I36" s="3" t="b">
        <v>0</v>
      </c>
      <c r="J36" s="34">
        <f>_xll.qlInterestRateIndexFixingDate(Index3M,N36)</f>
        <v>42051</v>
      </c>
      <c r="N36" s="34">
        <f>_xll.qlIMMdate(A36)</f>
        <v>42053</v>
      </c>
    </row>
    <row r="37" spans="1:14" x14ac:dyDescent="0.2">
      <c r="A37" s="21" t="str">
        <v>H5</v>
      </c>
      <c r="B37" s="22"/>
      <c r="C37" s="22"/>
      <c r="D37" s="22"/>
      <c r="E37" s="23"/>
      <c r="F37" s="24"/>
      <c r="G37" s="25"/>
      <c r="H37" s="25"/>
      <c r="I37" s="3" t="b">
        <v>0</v>
      </c>
      <c r="J37" s="34">
        <f>_xll.qlInterestRateIndexFixingDate(Index3M,N37)</f>
        <v>42079</v>
      </c>
      <c r="N37" s="34">
        <f>_xll.qlIMMdate(A37)</f>
        <v>42081</v>
      </c>
    </row>
    <row r="38" spans="1:14" x14ac:dyDescent="0.2">
      <c r="A38" s="21" t="str">
        <v>J5</v>
      </c>
      <c r="B38" s="22"/>
      <c r="C38" s="22"/>
      <c r="D38" s="22"/>
      <c r="E38" s="23"/>
      <c r="F38" s="24"/>
      <c r="G38" s="25"/>
      <c r="H38" s="25"/>
      <c r="I38" s="3" t="b">
        <v>0</v>
      </c>
      <c r="J38" s="34">
        <f>_xll.qlInterestRateIndexFixingDate(Index3M,N38)</f>
        <v>42107</v>
      </c>
      <c r="N38" s="34">
        <f>_xll.qlIMMdate(A38)</f>
        <v>42109</v>
      </c>
    </row>
    <row r="39" spans="1:14" x14ac:dyDescent="0.2">
      <c r="A39" s="21" t="str">
        <v>K5</v>
      </c>
      <c r="B39" s="22"/>
      <c r="C39" s="22"/>
      <c r="D39" s="22"/>
      <c r="E39" s="23"/>
      <c r="F39" s="24"/>
      <c r="G39" s="25"/>
      <c r="H39" s="25"/>
      <c r="I39" s="3" t="b">
        <v>0</v>
      </c>
      <c r="J39" s="34">
        <f>_xll.qlInterestRateIndexFixingDate(Index3M,N39)</f>
        <v>42142</v>
      </c>
      <c r="N39" s="34">
        <f>_xll.qlIMMdate(A39)</f>
        <v>42144</v>
      </c>
    </row>
    <row r="40" spans="1:14" x14ac:dyDescent="0.2">
      <c r="A40" s="21" t="str">
        <v>M5</v>
      </c>
      <c r="B40" s="22"/>
      <c r="C40" s="22"/>
      <c r="D40" s="22"/>
      <c r="E40" s="23"/>
      <c r="F40" s="24"/>
      <c r="G40" s="25"/>
      <c r="H40" s="25"/>
      <c r="I40" s="3" t="b">
        <v>0</v>
      </c>
      <c r="J40" s="34">
        <f>_xll.qlInterestRateIndexFixingDate(Index3M,N40)</f>
        <v>42170</v>
      </c>
      <c r="N40" s="34">
        <f>_xll.qlIMMdate(A40)</f>
        <v>42172</v>
      </c>
    </row>
    <row r="41" spans="1:14" x14ac:dyDescent="0.2">
      <c r="A41" s="21" t="str">
        <v>N5</v>
      </c>
      <c r="B41" s="22"/>
      <c r="C41" s="22"/>
      <c r="D41" s="22"/>
      <c r="E41" s="23"/>
      <c r="F41" s="24"/>
      <c r="G41" s="25"/>
      <c r="H41" s="25"/>
      <c r="I41" s="3" t="b">
        <v>0</v>
      </c>
      <c r="J41" s="34">
        <f>_xll.qlInterestRateIndexFixingDate(Index3M,N41)</f>
        <v>42198</v>
      </c>
      <c r="N41" s="34">
        <f>_xll.qlIMMdate(A41)</f>
        <v>42200</v>
      </c>
    </row>
    <row r="42" spans="1:14" x14ac:dyDescent="0.2">
      <c r="A42" s="21" t="str">
        <v>Q5</v>
      </c>
      <c r="B42" s="22"/>
      <c r="C42" s="22"/>
      <c r="D42" s="22"/>
      <c r="E42" s="23"/>
      <c r="F42" s="24"/>
      <c r="G42" s="25"/>
      <c r="H42" s="25"/>
      <c r="I42" s="3" t="b">
        <v>0</v>
      </c>
      <c r="J42" s="34">
        <f>_xll.qlInterestRateIndexFixingDate(Index3M,N42)</f>
        <v>42233</v>
      </c>
      <c r="N42" s="34">
        <f>_xll.qlIMMdate(A42)</f>
        <v>42235</v>
      </c>
    </row>
    <row r="43" spans="1:14" x14ac:dyDescent="0.2">
      <c r="A43" s="21" t="str">
        <v>U5</v>
      </c>
      <c r="B43" s="22"/>
      <c r="C43" s="22"/>
      <c r="D43" s="22"/>
      <c r="E43" s="23"/>
      <c r="F43" s="24"/>
      <c r="G43" s="25"/>
      <c r="H43" s="25"/>
      <c r="I43" s="3" t="b">
        <v>1</v>
      </c>
      <c r="J43" s="34">
        <f>_xll.qlInterestRateIndexFixingDate(Index3M,N43)</f>
        <v>42261</v>
      </c>
      <c r="N43" s="34">
        <f>_xll.qlIMMdate(A43)</f>
        <v>42263</v>
      </c>
    </row>
    <row r="44" spans="1:14" x14ac:dyDescent="0.2">
      <c r="A44" s="21" t="str">
        <v>Z5</v>
      </c>
      <c r="B44" s="22"/>
      <c r="C44" s="22"/>
      <c r="D44" s="22"/>
      <c r="E44" s="23"/>
      <c r="F44" s="24"/>
      <c r="G44" s="25"/>
      <c r="H44" s="25"/>
      <c r="I44" s="3" t="b">
        <v>1</v>
      </c>
      <c r="J44" s="34">
        <f>_xll.qlInterestRateIndexFixingDate(Index3M,N44)</f>
        <v>42352</v>
      </c>
      <c r="N44" s="34">
        <f>_xll.qlIMMdate(A44)</f>
        <v>42354</v>
      </c>
    </row>
    <row r="45" spans="1:14" x14ac:dyDescent="0.2">
      <c r="A45" s="21" t="str">
        <v>H6</v>
      </c>
      <c r="B45" s="22"/>
      <c r="C45" s="22"/>
      <c r="D45" s="22"/>
      <c r="E45" s="23"/>
      <c r="F45" s="24"/>
      <c r="G45" s="25"/>
      <c r="H45" s="25"/>
      <c r="I45" s="3" t="b">
        <v>1</v>
      </c>
      <c r="J45" s="34">
        <f>_xll.qlInterestRateIndexFixingDate(Index3M,N45)</f>
        <v>42443</v>
      </c>
      <c r="N45" s="34">
        <f>_xll.qlIMMdate(A45)</f>
        <v>42445</v>
      </c>
    </row>
    <row r="46" spans="1:14" x14ac:dyDescent="0.2">
      <c r="A46" s="21" t="str">
        <v>M6</v>
      </c>
      <c r="B46" s="22"/>
      <c r="C46" s="22"/>
      <c r="D46" s="22"/>
      <c r="E46" s="23"/>
      <c r="F46" s="24"/>
      <c r="G46" s="25"/>
      <c r="H46" s="25"/>
      <c r="I46" s="3" t="b">
        <v>1</v>
      </c>
      <c r="J46" s="34">
        <f>_xll.qlInterestRateIndexFixingDate(Index3M,N46)</f>
        <v>42534</v>
      </c>
      <c r="N46" s="34">
        <f>_xll.qlIMMdate(A46)</f>
        <v>42536</v>
      </c>
    </row>
    <row r="47" spans="1:14" x14ac:dyDescent="0.2">
      <c r="A47" s="21" t="str">
        <v>U6</v>
      </c>
      <c r="B47" s="22"/>
      <c r="C47" s="22"/>
      <c r="D47" s="22"/>
      <c r="E47" s="23"/>
      <c r="F47" s="24"/>
      <c r="G47" s="25"/>
      <c r="H47" s="25"/>
      <c r="I47" s="3" t="b">
        <v>1</v>
      </c>
      <c r="J47" s="34">
        <f>_xll.qlInterestRateIndexFixingDate(Index3M,N47)</f>
        <v>42632</v>
      </c>
      <c r="N47" s="34">
        <f>_xll.qlIMMdate(A47)</f>
        <v>42634</v>
      </c>
    </row>
    <row r="48" spans="1:14" x14ac:dyDescent="0.2">
      <c r="A48" s="21" t="str">
        <v>Z6</v>
      </c>
      <c r="B48" s="22"/>
      <c r="C48" s="22"/>
      <c r="D48" s="22"/>
      <c r="E48" s="23"/>
      <c r="F48" s="24"/>
      <c r="G48" s="25"/>
      <c r="H48" s="25"/>
      <c r="I48" s="3" t="b">
        <v>1</v>
      </c>
      <c r="J48" s="34">
        <f>_xll.qlInterestRateIndexFixingDate(Index3M,N48)</f>
        <v>42723</v>
      </c>
      <c r="N48" s="34">
        <f>_xll.qlIMMdate(A48)</f>
        <v>42725</v>
      </c>
    </row>
    <row r="49" spans="1:15" x14ac:dyDescent="0.2">
      <c r="A49" s="21" t="str">
        <v>H7</v>
      </c>
      <c r="B49" s="22"/>
      <c r="C49" s="22"/>
      <c r="D49" s="22"/>
      <c r="E49" s="23"/>
      <c r="F49" s="24"/>
      <c r="G49" s="25"/>
      <c r="H49" s="25"/>
      <c r="I49" s="3" t="b">
        <v>1</v>
      </c>
      <c r="J49" s="34">
        <f>_xll.qlInterestRateIndexFixingDate(Index3M,N49)</f>
        <v>42807</v>
      </c>
      <c r="N49" s="34">
        <f>_xll.qlIMMdate(A49)</f>
        <v>42809</v>
      </c>
    </row>
    <row r="50" spans="1:15" x14ac:dyDescent="0.2">
      <c r="A50" s="21" t="str">
        <v>M7</v>
      </c>
      <c r="B50" s="22"/>
      <c r="C50" s="22"/>
      <c r="D50" s="22"/>
      <c r="E50" s="23"/>
      <c r="F50" s="35"/>
      <c r="G50" s="25"/>
      <c r="H50" s="25"/>
      <c r="I50" s="3" t="b">
        <v>1</v>
      </c>
      <c r="J50" s="34">
        <f>_xll.qlInterestRateIndexFixingDate(Index3M,N50)</f>
        <v>42905</v>
      </c>
      <c r="N50" s="34">
        <f>_xll.qlIMMdate(A50)</f>
        <v>42907</v>
      </c>
    </row>
    <row r="51" spans="1:15" x14ac:dyDescent="0.2">
      <c r="A51" s="8" t="s">
        <v>114</v>
      </c>
      <c r="B51" s="9"/>
      <c r="C51" s="9"/>
      <c r="D51" s="9"/>
      <c r="E51" s="33"/>
      <c r="F51" s="10"/>
      <c r="G51" s="11"/>
      <c r="H51" s="11"/>
      <c r="I51" s="43" t="s">
        <v>112</v>
      </c>
      <c r="J51" s="36">
        <f>_xll.qlInterestRateIndexFixingDate(Index3M,N51)</f>
        <v>41892</v>
      </c>
      <c r="K51" s="37" t="str">
        <f>_xll.qlIndexFixingCalendar(Index3M)</f>
        <v>TARGET</v>
      </c>
      <c r="L51" s="46" t="s">
        <v>116</v>
      </c>
      <c r="M51" s="37" t="b">
        <v>0</v>
      </c>
      <c r="N51" s="38">
        <f>_xll.qlCalendarAdvance(K51,$O$51,I51,L51,M51)</f>
        <v>41894</v>
      </c>
      <c r="O51" s="34">
        <f>SettlementDate</f>
        <v>41894</v>
      </c>
    </row>
    <row r="52" spans="1:15" x14ac:dyDescent="0.2">
      <c r="A52" s="13" t="s">
        <v>115</v>
      </c>
      <c r="B52" s="14"/>
      <c r="C52" s="14"/>
      <c r="D52" s="14"/>
      <c r="E52" s="31"/>
      <c r="F52" s="15"/>
      <c r="G52" s="16"/>
      <c r="H52" s="16"/>
      <c r="I52" s="44" t="s">
        <v>113</v>
      </c>
      <c r="J52" s="39">
        <f>_xll.qlInterestRateIndexFixingDate(Index3M,N52)</f>
        <v>41893</v>
      </c>
      <c r="K52" s="29" t="str">
        <f>_xll.qlIndexFixingCalendar(Index3M)</f>
        <v>TARGET</v>
      </c>
      <c r="L52" s="47" t="s">
        <v>116</v>
      </c>
      <c r="M52" s="29" t="b">
        <v>0</v>
      </c>
      <c r="N52" s="40">
        <f>_xll.qlCalendarAdvance(K52,$O$51,I52,L52,M52)</f>
        <v>41897</v>
      </c>
    </row>
    <row r="53" spans="1:15" x14ac:dyDescent="0.2">
      <c r="A53" s="21">
        <v>1</v>
      </c>
      <c r="B53" s="22"/>
      <c r="C53" s="22"/>
      <c r="D53" s="22"/>
      <c r="E53" s="23"/>
      <c r="F53" s="24"/>
      <c r="G53" s="25"/>
      <c r="H53" s="25"/>
      <c r="I53" s="45" t="str">
        <f>A53&amp;"M"</f>
        <v>1M</v>
      </c>
      <c r="J53" s="34">
        <f>_xll.qlInterestRateIndexFixingDate(Index3M,N53)</f>
        <v>41921</v>
      </c>
      <c r="K53" s="3" t="str">
        <f>_xll.qlIndexFixingCalendar(Index3M)</f>
        <v>TARGET</v>
      </c>
      <c r="L53" s="48" t="s">
        <v>77</v>
      </c>
      <c r="M53" s="3" t="b">
        <v>1</v>
      </c>
      <c r="N53" s="34">
        <f>_xll.qlCalendarAdvance(K53,$O$51,I53,L53,M53)</f>
        <v>41925</v>
      </c>
    </row>
    <row r="54" spans="1:15" x14ac:dyDescent="0.2">
      <c r="A54" s="21">
        <v>2</v>
      </c>
      <c r="B54" s="22"/>
      <c r="C54" s="22"/>
      <c r="D54" s="22"/>
      <c r="E54" s="23"/>
      <c r="F54" s="24"/>
      <c r="G54" s="25"/>
      <c r="H54" s="25"/>
      <c r="I54" s="45" t="str">
        <f t="shared" ref="I54:I70" si="0">A54&amp;"M"</f>
        <v>2M</v>
      </c>
      <c r="J54" s="34">
        <f>_xll.qlInterestRateIndexFixingDate(Index3M,N54)</f>
        <v>41953</v>
      </c>
      <c r="K54" s="3" t="str">
        <f>_xll.qlIndexFixingCalendar(Index3M)</f>
        <v>TARGET</v>
      </c>
      <c r="L54" s="48" t="s">
        <v>77</v>
      </c>
      <c r="M54" s="3" t="b">
        <v>1</v>
      </c>
      <c r="N54" s="34">
        <f>_xll.qlCalendarAdvance(K54,$O$51,I54,L54,M54)</f>
        <v>41955</v>
      </c>
    </row>
    <row r="55" spans="1:15" x14ac:dyDescent="0.2">
      <c r="A55" s="21">
        <v>3</v>
      </c>
      <c r="B55" s="22"/>
      <c r="C55" s="22"/>
      <c r="D55" s="22"/>
      <c r="E55" s="23"/>
      <c r="F55" s="24"/>
      <c r="G55" s="25"/>
      <c r="H55" s="25"/>
      <c r="I55" s="45" t="str">
        <f t="shared" si="0"/>
        <v>3M</v>
      </c>
      <c r="J55" s="34">
        <f>_xll.qlInterestRateIndexFixingDate(Index3M,N55)</f>
        <v>41983</v>
      </c>
      <c r="K55" s="3" t="str">
        <f>_xll.qlIndexFixingCalendar(Index3M)</f>
        <v>TARGET</v>
      </c>
      <c r="L55" s="48" t="s">
        <v>77</v>
      </c>
      <c r="M55" s="3" t="b">
        <v>1</v>
      </c>
      <c r="N55" s="34">
        <f>_xll.qlCalendarAdvance(K55,$O$51,I55,L55,M55)</f>
        <v>41985</v>
      </c>
    </row>
    <row r="56" spans="1:15" x14ac:dyDescent="0.2">
      <c r="A56" s="21">
        <v>4</v>
      </c>
      <c r="B56" s="22"/>
      <c r="C56" s="22"/>
      <c r="D56" s="22"/>
      <c r="E56" s="23"/>
      <c r="F56" s="24"/>
      <c r="G56" s="25"/>
      <c r="H56" s="25"/>
      <c r="I56" s="45" t="str">
        <f t="shared" si="0"/>
        <v>4M</v>
      </c>
      <c r="J56" s="34">
        <f>_xll.qlInterestRateIndexFixingDate(Index3M,N56)</f>
        <v>42012</v>
      </c>
      <c r="K56" s="3" t="str">
        <f>_xll.qlIndexFixingCalendar(Index3M)</f>
        <v>TARGET</v>
      </c>
      <c r="L56" s="48" t="s">
        <v>77</v>
      </c>
      <c r="M56" s="3" t="b">
        <v>1</v>
      </c>
      <c r="N56" s="34">
        <f>_xll.qlCalendarAdvance(K56,$O$51,I56,L56,M56)</f>
        <v>42016</v>
      </c>
    </row>
    <row r="57" spans="1:15" x14ac:dyDescent="0.2">
      <c r="A57" s="21">
        <v>5</v>
      </c>
      <c r="B57" s="22"/>
      <c r="C57" s="22"/>
      <c r="D57" s="22"/>
      <c r="E57" s="23"/>
      <c r="F57" s="24"/>
      <c r="G57" s="25"/>
      <c r="H57" s="25"/>
      <c r="I57" s="45" t="str">
        <f t="shared" si="0"/>
        <v>5M</v>
      </c>
      <c r="J57" s="34">
        <f>_xll.qlInterestRateIndexFixingDate(Index3M,N57)</f>
        <v>42045</v>
      </c>
      <c r="K57" s="3" t="str">
        <f>_xll.qlIndexFixingCalendar(Index3M)</f>
        <v>TARGET</v>
      </c>
      <c r="L57" s="48" t="s">
        <v>77</v>
      </c>
      <c r="M57" s="3" t="b">
        <v>1</v>
      </c>
      <c r="N57" s="34">
        <f>_xll.qlCalendarAdvance(K57,$O$51,I57,L57,M57)</f>
        <v>42047</v>
      </c>
    </row>
    <row r="58" spans="1:15" x14ac:dyDescent="0.2">
      <c r="A58" s="21">
        <v>6</v>
      </c>
      <c r="B58" s="22"/>
      <c r="C58" s="22"/>
      <c r="D58" s="22"/>
      <c r="E58" s="23"/>
      <c r="F58" s="24"/>
      <c r="G58" s="25"/>
      <c r="H58" s="25"/>
      <c r="I58" s="45" t="str">
        <f t="shared" si="0"/>
        <v>6M</v>
      </c>
      <c r="J58" s="34">
        <f>_xll.qlInterestRateIndexFixingDate(Index3M,N58)</f>
        <v>42073</v>
      </c>
      <c r="K58" s="3" t="str">
        <f>_xll.qlIndexFixingCalendar(Index3M)</f>
        <v>TARGET</v>
      </c>
      <c r="L58" s="48" t="s">
        <v>77</v>
      </c>
      <c r="M58" s="3" t="b">
        <v>1</v>
      </c>
      <c r="N58" s="34">
        <f>_xll.qlCalendarAdvance(K58,$O$51,I58,L58,M58)</f>
        <v>42075</v>
      </c>
    </row>
    <row r="59" spans="1:15" x14ac:dyDescent="0.2">
      <c r="A59" s="21">
        <v>7</v>
      </c>
      <c r="B59" s="22"/>
      <c r="C59" s="22"/>
      <c r="D59" s="22"/>
      <c r="E59" s="23"/>
      <c r="F59" s="24"/>
      <c r="G59" s="25"/>
      <c r="H59" s="25"/>
      <c r="I59" s="45" t="str">
        <f t="shared" si="0"/>
        <v>7M</v>
      </c>
      <c r="J59" s="34">
        <f>_xll.qlInterestRateIndexFixingDate(Index3M,N59)</f>
        <v>42103</v>
      </c>
      <c r="K59" s="3" t="str">
        <f>_xll.qlIndexFixingCalendar(Index3M)</f>
        <v>TARGET</v>
      </c>
      <c r="L59" s="48" t="s">
        <v>77</v>
      </c>
      <c r="M59" s="3" t="b">
        <v>1</v>
      </c>
      <c r="N59" s="34">
        <f>_xll.qlCalendarAdvance(K59,$O$51,I59,L59,M59)</f>
        <v>42107</v>
      </c>
    </row>
    <row r="60" spans="1:15" x14ac:dyDescent="0.2">
      <c r="A60" s="21">
        <v>8</v>
      </c>
      <c r="B60" s="22"/>
      <c r="C60" s="22"/>
      <c r="D60" s="22"/>
      <c r="E60" s="23"/>
      <c r="F60" s="24"/>
      <c r="G60" s="25"/>
      <c r="H60" s="25"/>
      <c r="I60" s="45" t="str">
        <f t="shared" si="0"/>
        <v>8M</v>
      </c>
      <c r="J60" s="34">
        <f>_xll.qlInterestRateIndexFixingDate(Index3M,N60)</f>
        <v>42132</v>
      </c>
      <c r="K60" s="3" t="str">
        <f>_xll.qlIndexFixingCalendar(Index3M)</f>
        <v>TARGET</v>
      </c>
      <c r="L60" s="48" t="s">
        <v>77</v>
      </c>
      <c r="M60" s="3" t="b">
        <v>1</v>
      </c>
      <c r="N60" s="34">
        <f>_xll.qlCalendarAdvance(K60,$O$51,I60,L60,M60)</f>
        <v>42136</v>
      </c>
    </row>
    <row r="61" spans="1:15" x14ac:dyDescent="0.2">
      <c r="A61" s="21">
        <v>9</v>
      </c>
      <c r="B61" s="22"/>
      <c r="C61" s="22"/>
      <c r="D61" s="22"/>
      <c r="E61" s="23"/>
      <c r="F61" s="24"/>
      <c r="G61" s="25"/>
      <c r="H61" s="25"/>
      <c r="I61" s="45" t="str">
        <f t="shared" si="0"/>
        <v>9M</v>
      </c>
      <c r="J61" s="34">
        <f>_xll.qlInterestRateIndexFixingDate(Index3M,N61)</f>
        <v>42165</v>
      </c>
      <c r="K61" s="3" t="str">
        <f>_xll.qlIndexFixingCalendar(Index3M)</f>
        <v>TARGET</v>
      </c>
      <c r="L61" s="48" t="s">
        <v>77</v>
      </c>
      <c r="M61" s="3" t="b">
        <v>1</v>
      </c>
      <c r="N61" s="34">
        <f>_xll.qlCalendarAdvance(K61,$O$51,I61,L61,M61)</f>
        <v>42167</v>
      </c>
    </row>
    <row r="62" spans="1:15" x14ac:dyDescent="0.2">
      <c r="A62" s="21">
        <v>10</v>
      </c>
      <c r="B62" s="22"/>
      <c r="C62" s="22"/>
      <c r="D62" s="22"/>
      <c r="E62" s="23"/>
      <c r="F62" s="24"/>
      <c r="G62" s="25"/>
      <c r="H62" s="25"/>
      <c r="I62" s="45" t="str">
        <f t="shared" si="0"/>
        <v>10M</v>
      </c>
      <c r="J62" s="34">
        <f>_xll.qlInterestRateIndexFixingDate(Index3M,N62)</f>
        <v>42194</v>
      </c>
      <c r="K62" s="3" t="str">
        <f>_xll.qlIndexFixingCalendar(Index3M)</f>
        <v>TARGET</v>
      </c>
      <c r="L62" s="48" t="s">
        <v>77</v>
      </c>
      <c r="M62" s="3" t="b">
        <v>1</v>
      </c>
      <c r="N62" s="34">
        <f>_xll.qlCalendarAdvance(K62,$O$51,I62,L62,M62)</f>
        <v>42198</v>
      </c>
    </row>
    <row r="63" spans="1:15" x14ac:dyDescent="0.2">
      <c r="A63" s="21">
        <v>11</v>
      </c>
      <c r="B63" s="22"/>
      <c r="C63" s="22"/>
      <c r="D63" s="22"/>
      <c r="E63" s="23"/>
      <c r="F63" s="24"/>
      <c r="G63" s="25"/>
      <c r="H63" s="25"/>
      <c r="I63" s="45" t="str">
        <f t="shared" si="0"/>
        <v>11M</v>
      </c>
      <c r="J63" s="34">
        <f>_xll.qlInterestRateIndexFixingDate(Index3M,N63)</f>
        <v>42226</v>
      </c>
      <c r="K63" s="3" t="str">
        <f>_xll.qlIndexFixingCalendar(Index3M)</f>
        <v>TARGET</v>
      </c>
      <c r="L63" s="48" t="s">
        <v>77</v>
      </c>
      <c r="M63" s="3" t="b">
        <v>1</v>
      </c>
      <c r="N63" s="34">
        <f>_xll.qlCalendarAdvance(K63,$O$51,I63,L63,M63)</f>
        <v>42228</v>
      </c>
    </row>
    <row r="64" spans="1:15" x14ac:dyDescent="0.2">
      <c r="A64" s="21">
        <v>12</v>
      </c>
      <c r="B64" s="22"/>
      <c r="C64" s="22"/>
      <c r="D64" s="22"/>
      <c r="E64" s="23"/>
      <c r="F64" s="24"/>
      <c r="G64" s="25"/>
      <c r="H64" s="25"/>
      <c r="I64" s="45" t="str">
        <f t="shared" si="0"/>
        <v>12M</v>
      </c>
      <c r="J64" s="34">
        <f>_xll.qlInterestRateIndexFixingDate(Index3M,N64)</f>
        <v>42257</v>
      </c>
      <c r="K64" s="3" t="str">
        <f>_xll.qlIndexFixingCalendar(Index3M)</f>
        <v>TARGET</v>
      </c>
      <c r="L64" s="48" t="s">
        <v>77</v>
      </c>
      <c r="M64" s="3" t="b">
        <v>1</v>
      </c>
      <c r="N64" s="34">
        <f>_xll.qlCalendarAdvance(K64,$O$51,I64,L64,M64)</f>
        <v>42261</v>
      </c>
    </row>
    <row r="65" spans="1:14" x14ac:dyDescent="0.2">
      <c r="A65" s="21">
        <v>13</v>
      </c>
      <c r="B65" s="22"/>
      <c r="C65" s="22"/>
      <c r="D65" s="22"/>
      <c r="E65" s="23"/>
      <c r="F65" s="24"/>
      <c r="G65" s="25"/>
      <c r="H65" s="25"/>
      <c r="I65" s="45" t="str">
        <f t="shared" si="0"/>
        <v>13M</v>
      </c>
      <c r="J65" s="34">
        <f>_xll.qlInterestRateIndexFixingDate(Index3M,N65)</f>
        <v>42285</v>
      </c>
      <c r="K65" s="3" t="str">
        <f>_xll.qlIndexFixingCalendar(Index3M)</f>
        <v>TARGET</v>
      </c>
      <c r="L65" s="48" t="s">
        <v>77</v>
      </c>
      <c r="M65" s="3" t="b">
        <v>1</v>
      </c>
      <c r="N65" s="34">
        <f>_xll.qlCalendarAdvance(K65,$O$51,I65,L65,M65)</f>
        <v>42289</v>
      </c>
    </row>
    <row r="66" spans="1:14" x14ac:dyDescent="0.2">
      <c r="A66" s="21">
        <v>14</v>
      </c>
      <c r="B66" s="22"/>
      <c r="C66" s="22"/>
      <c r="D66" s="22"/>
      <c r="E66" s="23"/>
      <c r="F66" s="24"/>
      <c r="G66" s="25"/>
      <c r="H66" s="25"/>
      <c r="I66" s="45" t="str">
        <f t="shared" si="0"/>
        <v>14M</v>
      </c>
      <c r="J66" s="34">
        <f>_xll.qlInterestRateIndexFixingDate(Index3M,N66)</f>
        <v>42318</v>
      </c>
      <c r="K66" s="3" t="str">
        <f>_xll.qlIndexFixingCalendar(Index3M)</f>
        <v>TARGET</v>
      </c>
      <c r="L66" s="48" t="s">
        <v>77</v>
      </c>
      <c r="M66" s="3" t="b">
        <v>1</v>
      </c>
      <c r="N66" s="34">
        <f>_xll.qlCalendarAdvance(K66,$O$51,I66,L66,M66)</f>
        <v>42320</v>
      </c>
    </row>
    <row r="67" spans="1:14" x14ac:dyDescent="0.2">
      <c r="A67" s="21">
        <v>15</v>
      </c>
      <c r="B67" s="22"/>
      <c r="C67" s="22"/>
      <c r="D67" s="22"/>
      <c r="E67" s="23"/>
      <c r="F67" s="24"/>
      <c r="G67" s="25"/>
      <c r="H67" s="25"/>
      <c r="I67" s="45" t="str">
        <f t="shared" si="0"/>
        <v>15M</v>
      </c>
      <c r="J67" s="34">
        <f>_xll.qlInterestRateIndexFixingDate(Index3M,N67)</f>
        <v>42348</v>
      </c>
      <c r="K67" s="3" t="str">
        <f>_xll.qlIndexFixingCalendar(Index3M)</f>
        <v>TARGET</v>
      </c>
      <c r="L67" s="48" t="s">
        <v>77</v>
      </c>
      <c r="M67" s="3" t="b">
        <v>1</v>
      </c>
      <c r="N67" s="34">
        <f>_xll.qlCalendarAdvance(K67,$O$51,I67,L67,M67)</f>
        <v>42352</v>
      </c>
    </row>
    <row r="68" spans="1:14" x14ac:dyDescent="0.2">
      <c r="A68" s="21">
        <v>16</v>
      </c>
      <c r="B68" s="22"/>
      <c r="C68" s="22"/>
      <c r="D68" s="22"/>
      <c r="E68" s="23"/>
      <c r="F68" s="24"/>
      <c r="G68" s="25"/>
      <c r="H68" s="25"/>
      <c r="I68" s="45" t="str">
        <f t="shared" si="0"/>
        <v>16M</v>
      </c>
      <c r="J68" s="34">
        <f>_xll.qlInterestRateIndexFixingDate(Index3M,N68)</f>
        <v>42377</v>
      </c>
      <c r="K68" s="3" t="str">
        <f>_xll.qlIndexFixingCalendar(Index3M)</f>
        <v>TARGET</v>
      </c>
      <c r="L68" s="48" t="s">
        <v>77</v>
      </c>
      <c r="M68" s="3" t="b">
        <v>1</v>
      </c>
      <c r="N68" s="34">
        <f>_xll.qlCalendarAdvance(K68,$O$51,I68,L68,M68)</f>
        <v>42381</v>
      </c>
    </row>
    <row r="69" spans="1:14" x14ac:dyDescent="0.2">
      <c r="A69" s="21">
        <v>17</v>
      </c>
      <c r="B69" s="22"/>
      <c r="C69" s="22"/>
      <c r="D69" s="22"/>
      <c r="E69" s="23"/>
      <c r="F69" s="24"/>
      <c r="G69" s="25"/>
      <c r="H69" s="25"/>
      <c r="I69" s="45" t="str">
        <f t="shared" si="0"/>
        <v>17M</v>
      </c>
      <c r="J69" s="34">
        <f>_xll.qlInterestRateIndexFixingDate(Index3M,N69)</f>
        <v>42410</v>
      </c>
      <c r="K69" s="3" t="str">
        <f>_xll.qlIndexFixingCalendar(Index3M)</f>
        <v>TARGET</v>
      </c>
      <c r="L69" s="48" t="s">
        <v>77</v>
      </c>
      <c r="M69" s="3" t="b">
        <v>1</v>
      </c>
      <c r="N69" s="34">
        <f>_xll.qlCalendarAdvance(K69,$O$51,I69,L69,M69)</f>
        <v>42412</v>
      </c>
    </row>
    <row r="70" spans="1:14" x14ac:dyDescent="0.2">
      <c r="A70" s="13">
        <v>18</v>
      </c>
      <c r="B70" s="14"/>
      <c r="C70" s="14"/>
      <c r="D70" s="14"/>
      <c r="E70" s="31"/>
      <c r="F70" s="28"/>
      <c r="G70" s="16"/>
      <c r="H70" s="16"/>
      <c r="I70" s="45" t="str">
        <f t="shared" si="0"/>
        <v>18M</v>
      </c>
      <c r="J70" s="39">
        <f>_xll.qlInterestRateIndexFixingDate(Index3M,N70)</f>
        <v>42439</v>
      </c>
      <c r="K70" s="29" t="str">
        <f>_xll.qlIndexFixingCalendar(Index3M)</f>
        <v>TARGET</v>
      </c>
      <c r="L70" s="47" t="s">
        <v>77</v>
      </c>
      <c r="M70" s="29" t="b">
        <v>1</v>
      </c>
      <c r="N70" s="34">
        <f>_xll.qlCalendarAdvance(K70,$O$51,I70,L70,M70)</f>
        <v>42443</v>
      </c>
    </row>
    <row r="71" spans="1:14" x14ac:dyDescent="0.2">
      <c r="A71" s="21" t="s">
        <v>0</v>
      </c>
      <c r="B71" s="22" t="str">
        <f>_xll.qlSwapIndex(,"NoFix",$A71,SettlementDays,Currency,Calendar,$F71,$G71,$H71,B$4,B$1,,EvaluationDate)</f>
        <v>obj_00695#0000</v>
      </c>
      <c r="C71" s="22" t="str">
        <f>_xll.qlSwapIndex(,"NoFix",$A71,SettlementDays,Currency,Calendar,$F71,$G71,$H71,C$4,C$1,,EvaluationDate)</f>
        <v>obj_0072e#0000</v>
      </c>
      <c r="D71" s="22" t="str">
        <f>_xll.qlSwapIndex(,"NoFix",$A71,SettlementDays,Currency,Calendar,$F71,$G71,$H71,D$4,D$1,,EvaluationDate)</f>
        <v>obj_0067d#0000</v>
      </c>
      <c r="E71" s="33" t="str">
        <f>_xll.qlSwapIndex(,"NoFix",$A71,SettlementDays,Currency,Calendar,$F71,$G71,$H71,E$4,E$1,,EvaluationDate)</f>
        <v>obj_0076f#0000</v>
      </c>
      <c r="F71" s="41" t="s">
        <v>0</v>
      </c>
      <c r="G71" s="25" t="s">
        <v>77</v>
      </c>
      <c r="H71" s="25" t="s">
        <v>78</v>
      </c>
    </row>
    <row r="72" spans="1:14" x14ac:dyDescent="0.2">
      <c r="A72" s="21" t="s">
        <v>95</v>
      </c>
      <c r="B72" s="22" t="str">
        <f>_xll.qlSwapIndex(,"NoFix",$A72,SettlementDays,Currency,Calendar,$F72,$G72,$H72,B$4,B$1,,EvaluationDate)</f>
        <v>obj_0067c#0000</v>
      </c>
      <c r="C72" s="22" t="str">
        <f>_xll.qlSwapIndex(,"NoFix",$A72,SettlementDays,Currency,Calendar,$F72,$G72,$H72,C$4,C$1,,EvaluationDate)</f>
        <v>obj_0072d#0000</v>
      </c>
      <c r="D72" s="22"/>
      <c r="E72" s="23"/>
      <c r="F72" s="41" t="s">
        <v>0</v>
      </c>
      <c r="G72" s="25" t="s">
        <v>77</v>
      </c>
      <c r="H72" s="25" t="s">
        <v>78</v>
      </c>
    </row>
    <row r="73" spans="1:14" x14ac:dyDescent="0.2">
      <c r="A73" s="21" t="s">
        <v>93</v>
      </c>
      <c r="B73" s="22" t="str">
        <f>_xll.qlSwapIndex(,"NoFix",$A73,SettlementDays,Currency,Calendar,$F73,$G73,$H73,B$4,B$1,,EvaluationDate)</f>
        <v>obj_0072c#0000</v>
      </c>
      <c r="C73" s="22" t="str">
        <f>_xll.qlSwapIndex(,"NoFix",$A73,SettlementDays,Currency,Calendar,$F73,$G73,$H73,C$4,C$1,,EvaluationDate)</f>
        <v>obj_006f3#0000</v>
      </c>
      <c r="D73" s="22" t="str">
        <f>_xll.qlSwapIndex(,"NoFix",$A73,SettlementDays,Currency,Calendar,$F73,$G73,$H73,D$4,D$1,,EvaluationDate)</f>
        <v>obj_00711#0000</v>
      </c>
      <c r="E73" s="23"/>
      <c r="F73" s="41" t="s">
        <v>0</v>
      </c>
      <c r="G73" s="25" t="s">
        <v>77</v>
      </c>
      <c r="H73" s="25" t="s">
        <v>78</v>
      </c>
    </row>
    <row r="74" spans="1:14" x14ac:dyDescent="0.2">
      <c r="A74" s="21" t="s">
        <v>96</v>
      </c>
      <c r="B74" s="22" t="str">
        <f>_xll.qlSwapIndex(,"NoFix",$A74,SettlementDays,Currency,Calendar,$F74,$G74,$H74,B$4,B$1,,EvaluationDate)</f>
        <v>obj_00692#0000</v>
      </c>
      <c r="C74" s="22" t="str">
        <f>_xll.qlSwapIndex(,"NoFix",$A74,SettlementDays,Currency,Calendar,$F74,$G74,$H74,C$4,C$1,,EvaluationDate)</f>
        <v>obj_006f8#0000</v>
      </c>
      <c r="D74" s="22"/>
      <c r="E74" s="23"/>
      <c r="F74" s="41" t="s">
        <v>0</v>
      </c>
      <c r="G74" s="25" t="s">
        <v>77</v>
      </c>
      <c r="H74" s="25" t="s">
        <v>78</v>
      </c>
    </row>
    <row r="75" spans="1:14" x14ac:dyDescent="0.2">
      <c r="A75" s="21" t="s">
        <v>1</v>
      </c>
      <c r="B75" s="22" t="str">
        <f>_xll.qlSwapIndex(,"NoFix",$A75,SettlementDays,Currency,Calendar,$F75,$G75,$H75,B$4,B$1,,EvaluationDate)</f>
        <v>obj_00766#0000</v>
      </c>
      <c r="C75" s="22" t="str">
        <f>_xll.qlSwapIndex(,"NoFix",$A75,SettlementDays,Currency,Calendar,$F75,$G75,$H75,C$4,C$1,,EvaluationDate)</f>
        <v>obj_0067f#0000</v>
      </c>
      <c r="D75" s="22" t="str">
        <f>_xll.qlSwapIndex(,"NoFix",$A75,SettlementDays,Currency,Calendar,$F75,$G75,$H75,D$4,D$1,,EvaluationDate)</f>
        <v>obj_006aa#0000</v>
      </c>
      <c r="E75" s="23" t="str">
        <f>_xll.qlSwapIndex(,"NoFix",$A75,SettlementDays,Currency,Calendar,$F75,$G75,$H75,E$4,E$1,,EvaluationDate)</f>
        <v>obj_006ca#0000</v>
      </c>
      <c r="F75" s="41" t="s">
        <v>0</v>
      </c>
      <c r="G75" s="25" t="s">
        <v>77</v>
      </c>
      <c r="H75" s="25" t="s">
        <v>78</v>
      </c>
    </row>
    <row r="76" spans="1:14" x14ac:dyDescent="0.2">
      <c r="A76" s="21" t="s">
        <v>97</v>
      </c>
      <c r="B76" s="22" t="str">
        <f>_xll.qlSwapIndex(,"NoFix",$A76,SettlementDays,Currency,Calendar,$F76,$G76,$H76,B$4,B$1,,EvaluationDate)</f>
        <v>obj_00746#0000</v>
      </c>
      <c r="C76" s="22" t="str">
        <f>_xll.qlSwapIndex(,"NoFix",$A76,SettlementDays,Currency,Calendar,$F76,$G76,$H76,C$4,C$1,,EvaluationDate)</f>
        <v>obj_0068f#0000</v>
      </c>
      <c r="D76" s="22"/>
      <c r="E76" s="23"/>
      <c r="F76" s="41" t="s">
        <v>0</v>
      </c>
      <c r="G76" s="25" t="s">
        <v>77</v>
      </c>
      <c r="H76" s="25" t="s">
        <v>78</v>
      </c>
    </row>
    <row r="77" spans="1:14" x14ac:dyDescent="0.2">
      <c r="A77" s="21" t="s">
        <v>94</v>
      </c>
      <c r="B77" s="22" t="str">
        <f>_xll.qlSwapIndex(,"NoFix",$A77,SettlementDays,Currency,Calendar,$F77,$G77,$H77,B$4,B$1,,EvaluationDate)</f>
        <v>obj_006e0#0000</v>
      </c>
      <c r="C77" s="22" t="str">
        <f>_xll.qlSwapIndex(,"NoFix",$A77,SettlementDays,Currency,Calendar,$F77,$G77,$H77,C$4,C$1,,EvaluationDate)</f>
        <v>obj_006c1#0000</v>
      </c>
      <c r="D77" s="22" t="str">
        <f>_xll.qlSwapIndex(,"NoFix",$A77,SettlementDays,Currency,Calendar,$F77,$G77,$H77,D$4,D$1,,EvaluationDate)</f>
        <v>obj_00738#0000</v>
      </c>
      <c r="E77" s="23"/>
      <c r="F77" s="41" t="s">
        <v>0</v>
      </c>
      <c r="G77" s="25" t="s">
        <v>77</v>
      </c>
      <c r="H77" s="25" t="s">
        <v>78</v>
      </c>
    </row>
    <row r="78" spans="1:14" x14ac:dyDescent="0.2">
      <c r="A78" s="21" t="s">
        <v>98</v>
      </c>
      <c r="B78" s="22" t="str">
        <f>_xll.qlSwapIndex(,"NoFix",$A78,SettlementDays,Currency,Calendar,$F78,$G78,$H78,B$4,B$1,,EvaluationDate)</f>
        <v>obj_0070c#0000</v>
      </c>
      <c r="C78" s="22" t="str">
        <f>_xll.qlSwapIndex(,"NoFix",$A78,SettlementDays,Currency,Calendar,$F78,$G78,$H78,C$4,C$1,,EvaluationDate)</f>
        <v>obj_0069c#0000</v>
      </c>
      <c r="D78" s="22"/>
      <c r="E78" s="23"/>
      <c r="F78" s="41" t="s">
        <v>0</v>
      </c>
      <c r="G78" s="25" t="s">
        <v>77</v>
      </c>
      <c r="H78" s="25" t="s">
        <v>78</v>
      </c>
    </row>
    <row r="79" spans="1:14" x14ac:dyDescent="0.2">
      <c r="A79" s="21" t="s">
        <v>2</v>
      </c>
      <c r="B79" s="22" t="str">
        <f>_xll.qlSwapIndex(,"NoFix",$A79,SettlementDays,Currency,Calendar,$F79,$G79,$H79,B$4,B$1,,EvaluationDate)</f>
        <v>obj_006ac#0000</v>
      </c>
      <c r="C79" s="22" t="str">
        <f>_xll.qlSwapIndex(,"NoFix",$A79,SettlementDays,Currency,Calendar,$F79,$G79,$H79,C$4,C$1,,EvaluationDate)</f>
        <v>obj_006ec#0000</v>
      </c>
      <c r="D79" s="22" t="str">
        <f>_xll.qlSwapIndex(,"NoFix",$A79,SettlementDays,Currency,Calendar,$F79,$G79,$H79,D$4,D$1,,EvaluationDate)</f>
        <v>obj_00771#0000</v>
      </c>
      <c r="E79" s="23" t="str">
        <f>_xll.qlSwapIndex(,"NoFix",$A79,SettlementDays,Currency,Calendar,$F79,$G79,$H79,E$4,E$1,,EvaluationDate)</f>
        <v>obj_006ee#0000</v>
      </c>
      <c r="F79" s="41" t="s">
        <v>0</v>
      </c>
      <c r="G79" s="25" t="s">
        <v>77</v>
      </c>
      <c r="H79" s="25" t="s">
        <v>78</v>
      </c>
    </row>
    <row r="80" spans="1:14" x14ac:dyDescent="0.2">
      <c r="A80" s="21" t="s">
        <v>3</v>
      </c>
      <c r="B80" s="22" t="str">
        <f>_xll.qlSwapIndex(,"NoFix",$A80,SettlementDays,Currency,Calendar,$F80,$G80,$H80,B$4,B$1,,EvaluationDate)</f>
        <v>obj_00680#0000</v>
      </c>
      <c r="C80" s="22" t="str">
        <f>_xll.qlSwapIndex(,"NoFix",$A80,SettlementDays,Currency,Calendar,$F80,$G80,$H80,C$4,C$1,,EvaluationDate)</f>
        <v>obj_006d7#0000</v>
      </c>
      <c r="D80" s="22" t="str">
        <f>_xll.qlSwapIndex(,"NoFix",$A80,SettlementDays,Currency,Calendar,$F80,$G80,$H80,D$4,D$1,,EvaluationDate)</f>
        <v>obj_006ad#0000</v>
      </c>
      <c r="E80" s="23" t="str">
        <f>_xll.qlSwapIndex(,"NoFix",$A80,SettlementDays,Currency,Calendar,$F80,$G80,$H80,E$4,E$1,,EvaluationDate)</f>
        <v>obj_006d2#0000</v>
      </c>
      <c r="F80" s="41" t="s">
        <v>0</v>
      </c>
      <c r="G80" s="25" t="s">
        <v>77</v>
      </c>
      <c r="H80" s="25" t="s">
        <v>78</v>
      </c>
    </row>
    <row r="81" spans="1:8" x14ac:dyDescent="0.2">
      <c r="A81" s="21" t="s">
        <v>4</v>
      </c>
      <c r="B81" s="22" t="str">
        <f>_xll.qlSwapIndex(,"NoFix",$A81,SettlementDays,Currency,Calendar,$F81,$G81,$H81,B$4,B$1,,EvaluationDate)</f>
        <v>obj_006b1#0000</v>
      </c>
      <c r="C81" s="22" t="str">
        <f>_xll.qlSwapIndex(,"NoFix",$A81,SettlementDays,Currency,Calendar,$F81,$G81,$H81,C$4,C$1,,EvaluationDate)</f>
        <v>obj_0075a#0000</v>
      </c>
      <c r="D81" s="22" t="str">
        <f>_xll.qlSwapIndex(,"NoFix",$A81,SettlementDays,Currency,Calendar,$F81,$G81,$H81,D$4,D$1,,EvaluationDate)</f>
        <v>obj_00754#0000</v>
      </c>
      <c r="E81" s="23" t="str">
        <f>_xll.qlSwapIndex(,"NoFix",$A81,SettlementDays,Currency,Calendar,$F81,$G81,$H81,E$4,E$1,,EvaluationDate)</f>
        <v>obj_00763#0000</v>
      </c>
      <c r="F81" s="41" t="s">
        <v>0</v>
      </c>
      <c r="G81" s="25" t="s">
        <v>77</v>
      </c>
      <c r="H81" s="25" t="s">
        <v>78</v>
      </c>
    </row>
    <row r="82" spans="1:8" x14ac:dyDescent="0.2">
      <c r="A82" s="21" t="s">
        <v>5</v>
      </c>
      <c r="B82" s="22" t="str">
        <f>_xll.qlSwapIndex(,"NoFix",$A82,SettlementDays,Currency,Calendar,$F82,$G82,$H82,B$4,B$1,,EvaluationDate)</f>
        <v>obj_006ef#0000</v>
      </c>
      <c r="C82" s="22" t="str">
        <f>_xll.qlSwapIndex(,"NoFix",$A82,SettlementDays,Currency,Calendar,$F82,$G82,$H82,C$4,C$1,,EvaluationDate)</f>
        <v>obj_006d9#0000</v>
      </c>
      <c r="D82" s="22" t="str">
        <f>_xll.qlSwapIndex(,"NoFix",$A82,SettlementDays,Currency,Calendar,$F82,$G82,$H82,D$4,D$1,,EvaluationDate)</f>
        <v>obj_006f2#0000</v>
      </c>
      <c r="E82" s="23" t="str">
        <f>_xll.qlSwapIndex(,"NoFix",$A82,SettlementDays,Currency,Calendar,$F82,$G82,$H82,E$4,E$1,,EvaluationDate)</f>
        <v>obj_006a7#0000</v>
      </c>
      <c r="F82" s="41" t="s">
        <v>0</v>
      </c>
      <c r="G82" s="25" t="s">
        <v>77</v>
      </c>
      <c r="H82" s="25" t="s">
        <v>78</v>
      </c>
    </row>
    <row r="83" spans="1:8" x14ac:dyDescent="0.2">
      <c r="A83" s="21" t="s">
        <v>6</v>
      </c>
      <c r="B83" s="22" t="str">
        <f>_xll.qlSwapIndex(,"NoFix",$A83,SettlementDays,Currency,Calendar,$F83,$G83,$H83,B$4,B$1,,EvaluationDate)</f>
        <v>obj_0069d#0000</v>
      </c>
      <c r="C83" s="22" t="str">
        <f>_xll.qlSwapIndex(,"NoFix",$A83,SettlementDays,Currency,Calendar,$F83,$G83,$H83,C$4,C$1,,EvaluationDate)</f>
        <v>obj_00755#0000</v>
      </c>
      <c r="D83" s="22" t="str">
        <f>_xll.qlSwapIndex(,"NoFix",$A83,SettlementDays,Currency,Calendar,$F83,$G83,$H83,D$4,D$1,,EvaluationDate)</f>
        <v>obj_0069f#0000</v>
      </c>
      <c r="E83" s="23" t="str">
        <f>_xll.qlSwapIndex(,"NoFix",$A83,SettlementDays,Currency,Calendar,$F83,$G83,$H83,E$4,E$1,,EvaluationDate)</f>
        <v>obj_006d3#0000</v>
      </c>
      <c r="F83" s="41" t="s">
        <v>0</v>
      </c>
      <c r="G83" s="25" t="s">
        <v>77</v>
      </c>
      <c r="H83" s="25" t="s">
        <v>78</v>
      </c>
    </row>
    <row r="84" spans="1:8" x14ac:dyDescent="0.2">
      <c r="A84" s="21" t="s">
        <v>7</v>
      </c>
      <c r="B84" s="22" t="str">
        <f>_xll.qlSwapIndex(,"NoFix",$A84,SettlementDays,Currency,Calendar,$F84,$G84,$H84,B$4,B$1,,EvaluationDate)</f>
        <v>obj_006fb#0000</v>
      </c>
      <c r="C84" s="22" t="str">
        <f>_xll.qlSwapIndex(,"NoFix",$A84,SettlementDays,Currency,Calendar,$F84,$G84,$H84,C$4,C$1,,EvaluationDate)</f>
        <v>obj_00677#0000</v>
      </c>
      <c r="D84" s="22" t="str">
        <f>_xll.qlSwapIndex(,"NoFix",$A84,SettlementDays,Currency,Calendar,$F84,$G84,$H84,D$4,D$1,,EvaluationDate)</f>
        <v>obj_006f7#0000</v>
      </c>
      <c r="E84" s="23" t="str">
        <f>_xll.qlSwapIndex(,"NoFix",$A84,SettlementDays,Currency,Calendar,$F84,$G84,$H84,E$4,E$1,,EvaluationDate)</f>
        <v>obj_006fd#0000</v>
      </c>
      <c r="F84" s="41" t="s">
        <v>0</v>
      </c>
      <c r="G84" s="25" t="s">
        <v>77</v>
      </c>
      <c r="H84" s="25" t="s">
        <v>78</v>
      </c>
    </row>
    <row r="85" spans="1:8" x14ac:dyDescent="0.2">
      <c r="A85" s="21" t="s">
        <v>8</v>
      </c>
      <c r="B85" s="22" t="str">
        <f>_xll.qlSwapIndex(,"NoFix",$A85,SettlementDays,Currency,Calendar,$F85,$G85,$H85,B$4,B$1,,EvaluationDate)</f>
        <v>obj_0075c#0000</v>
      </c>
      <c r="C85" s="22" t="str">
        <f>_xll.qlSwapIndex(,"NoFix",$A85,SettlementDays,Currency,Calendar,$F85,$G85,$H85,C$4,C$1,,EvaluationDate)</f>
        <v>obj_0073a#0000</v>
      </c>
      <c r="D85" s="22" t="str">
        <f>_xll.qlSwapIndex(,"NoFix",$A85,SettlementDays,Currency,Calendar,$F85,$G85,$H85,D$4,D$1,,EvaluationDate)</f>
        <v>obj_00734#0000</v>
      </c>
      <c r="E85" s="23" t="str">
        <f>_xll.qlSwapIndex(,"NoFix",$A85,SettlementDays,Currency,Calendar,$F85,$G85,$H85,E$4,E$1,,EvaluationDate)</f>
        <v>obj_00679#0000</v>
      </c>
      <c r="F85" s="41" t="s">
        <v>0</v>
      </c>
      <c r="G85" s="25" t="s">
        <v>77</v>
      </c>
      <c r="H85" s="25" t="s">
        <v>78</v>
      </c>
    </row>
    <row r="86" spans="1:8" x14ac:dyDescent="0.2">
      <c r="A86" s="21" t="s">
        <v>9</v>
      </c>
      <c r="B86" s="22" t="str">
        <f>_xll.qlSwapIndex(,"NoFix",$A86,SettlementDays,Currency,Calendar,$F86,$G86,$H86,B$4,B$1,,EvaluationDate)</f>
        <v>obj_00712#0000</v>
      </c>
      <c r="C86" s="22" t="str">
        <f>_xll.qlSwapIndex(,"NoFix",$A86,SettlementDays,Currency,Calendar,$F86,$G86,$H86,C$4,C$1,,EvaluationDate)</f>
        <v>obj_00685#0000</v>
      </c>
      <c r="D86" s="22" t="str">
        <f>_xll.qlSwapIndex(,"NoFix",$A86,SettlementDays,Currency,Calendar,$F86,$G86,$H86,D$4,D$1,,EvaluationDate)</f>
        <v>obj_00678#0000</v>
      </c>
      <c r="E86" s="23" t="str">
        <f>_xll.qlSwapIndex(,"NoFix",$A86,SettlementDays,Currency,Calendar,$F86,$G86,$H86,E$4,E$1,,EvaluationDate)</f>
        <v>obj_006dc#0000</v>
      </c>
      <c r="F86" s="41" t="s">
        <v>0</v>
      </c>
      <c r="G86" s="25" t="s">
        <v>77</v>
      </c>
      <c r="H86" s="25" t="s">
        <v>78</v>
      </c>
    </row>
    <row r="87" spans="1:8" x14ac:dyDescent="0.2">
      <c r="A87" s="21" t="s">
        <v>10</v>
      </c>
      <c r="B87" s="22" t="str">
        <f>_xll.qlSwapIndex(,"NoFix",$A87,SettlementDays,Currency,Calendar,$F87,$G87,$H87,B$4,B$1,,EvaluationDate)</f>
        <v>obj_00733#0000</v>
      </c>
      <c r="C87" s="22" t="str">
        <f>_xll.qlSwapIndex(,"NoFix",$A87,SettlementDays,Currency,Calendar,$F87,$G87,$H87,C$4,C$1,,EvaluationDate)</f>
        <v>obj_0073d#0000</v>
      </c>
      <c r="D87" s="22" t="str">
        <f>_xll.qlSwapIndex(,"NoFix",$A87,SettlementDays,Currency,Calendar,$F87,$G87,$H87,D$4,D$1,,EvaluationDate)</f>
        <v>obj_006c0#0000</v>
      </c>
      <c r="E87" s="23" t="str">
        <f>_xll.qlSwapIndex(,"NoFix",$A87,SettlementDays,Currency,Calendar,$F87,$G87,$H87,E$4,E$1,,EvaluationDate)</f>
        <v>obj_00701#0000</v>
      </c>
      <c r="F87" s="41" t="s">
        <v>0</v>
      </c>
      <c r="G87" s="25" t="s">
        <v>77</v>
      </c>
      <c r="H87" s="25" t="s">
        <v>78</v>
      </c>
    </row>
    <row r="88" spans="1:8" x14ac:dyDescent="0.2">
      <c r="A88" s="21" t="s">
        <v>11</v>
      </c>
      <c r="B88" s="22" t="str">
        <f>_xll.qlSwapIndex(,"NoFix",$A88,SettlementDays,Currency,Calendar,$F88,$G88,$H88,B$4,B$1,,EvaluationDate)</f>
        <v>obj_006f5#0000</v>
      </c>
      <c r="C88" s="22" t="str">
        <f>_xll.qlSwapIndex(,"NoFix",$A88,SettlementDays,Currency,Calendar,$F88,$G88,$H88,C$4,C$1,,EvaluationDate)</f>
        <v>obj_006f4#0000</v>
      </c>
      <c r="D88" s="22" t="str">
        <f>_xll.qlSwapIndex(,"NoFix",$A88,SettlementDays,Currency,Calendar,$F88,$G88,$H88,D$4,D$1,,EvaluationDate)</f>
        <v>obj_00741#0000</v>
      </c>
      <c r="E88" s="23" t="str">
        <f>_xll.qlSwapIndex(,"NoFix",$A88,SettlementDays,Currency,Calendar,$F88,$G88,$H88,E$4,E$1,,EvaluationDate)</f>
        <v>obj_00708#0000</v>
      </c>
      <c r="F88" s="41" t="s">
        <v>0</v>
      </c>
      <c r="G88" s="25" t="s">
        <v>77</v>
      </c>
      <c r="H88" s="25" t="s">
        <v>78</v>
      </c>
    </row>
    <row r="89" spans="1:8" x14ac:dyDescent="0.2">
      <c r="A89" s="21" t="s">
        <v>12</v>
      </c>
      <c r="B89" s="22" t="str">
        <f>_xll.qlSwapIndex(,"NoFix",$A89,SettlementDays,Currency,Calendar,$F89,$G89,$H89,B$4,B$1,,EvaluationDate)</f>
        <v>obj_0068e#0000</v>
      </c>
      <c r="C89" s="22" t="str">
        <f>_xll.qlSwapIndex(,"NoFix",$A89,SettlementDays,Currency,Calendar,$F89,$G89,$H89,C$4,C$1,,EvaluationDate)</f>
        <v>obj_00728#0000</v>
      </c>
      <c r="D89" s="22" t="str">
        <f>_xll.qlSwapIndex(,"NoFix",$A89,SettlementDays,Currency,Calendar,$F89,$G89,$H89,D$4,D$1,,EvaluationDate)</f>
        <v>obj_006d4#0000</v>
      </c>
      <c r="E89" s="23" t="str">
        <f>_xll.qlSwapIndex(,"NoFix",$A89,SettlementDays,Currency,Calendar,$F89,$G89,$H89,E$4,E$1,,EvaluationDate)</f>
        <v>obj_00687#0000</v>
      </c>
      <c r="F89" s="41" t="s">
        <v>0</v>
      </c>
      <c r="G89" s="25" t="s">
        <v>77</v>
      </c>
      <c r="H89" s="25" t="s">
        <v>78</v>
      </c>
    </row>
    <row r="90" spans="1:8" x14ac:dyDescent="0.2">
      <c r="A90" s="21" t="s">
        <v>13</v>
      </c>
      <c r="B90" s="22" t="str">
        <f>_xll.qlSwapIndex(,"NoFix",$A90,SettlementDays,Currency,Calendar,$F90,$G90,$H90,B$4,B$1,,EvaluationDate)</f>
        <v>obj_006a6#0000</v>
      </c>
      <c r="C90" s="22" t="str">
        <f>_xll.qlSwapIndex(,"NoFix",$A90,SettlementDays,Currency,Calendar,$F90,$G90,$H90,C$4,C$1,,EvaluationDate)</f>
        <v>obj_00767#0000</v>
      </c>
      <c r="D90" s="22" t="str">
        <f>_xll.qlSwapIndex(,"NoFix",$A90,SettlementDays,Currency,Calendar,$F90,$G90,$H90,D$4,D$1,,EvaluationDate)</f>
        <v>obj_006d5#0000</v>
      </c>
      <c r="E90" s="23" t="str">
        <f>_xll.qlSwapIndex(,"NoFix",$A90,SettlementDays,Currency,Calendar,$F90,$G90,$H90,E$4,E$1,,EvaluationDate)</f>
        <v>obj_0068a#0000</v>
      </c>
      <c r="F90" s="41" t="s">
        <v>0</v>
      </c>
      <c r="G90" s="25" t="s">
        <v>77</v>
      </c>
      <c r="H90" s="25" t="s">
        <v>78</v>
      </c>
    </row>
    <row r="91" spans="1:8" x14ac:dyDescent="0.2">
      <c r="A91" s="21" t="s">
        <v>14</v>
      </c>
      <c r="B91" s="22" t="str">
        <f>_xll.qlSwapIndex(,"NoFix",$A91,SettlementDays,Currency,Calendar,$F91,$G91,$H91,B$4,B$1,,EvaluationDate)</f>
        <v>obj_00769#0000</v>
      </c>
      <c r="C91" s="22" t="str">
        <f>_xll.qlSwapIndex(,"NoFix",$A91,SettlementDays,Currency,Calendar,$F91,$G91,$H91,C$4,C$1,,EvaluationDate)</f>
        <v>obj_006bf#0000</v>
      </c>
      <c r="D91" s="22" t="str">
        <f>_xll.qlSwapIndex(,"NoFix",$A91,SettlementDays,Currency,Calendar,$F91,$G91,$H91,D$4,D$1,,EvaluationDate)</f>
        <v>obj_00724#0000</v>
      </c>
      <c r="E91" s="23" t="str">
        <f>_xll.qlSwapIndex(,"NoFix",$A91,SettlementDays,Currency,Calendar,$F91,$G91,$H91,E$4,E$1,,EvaluationDate)</f>
        <v>obj_0071d#0000</v>
      </c>
      <c r="F91" s="41" t="s">
        <v>0</v>
      </c>
      <c r="G91" s="25" t="s">
        <v>77</v>
      </c>
      <c r="H91" s="25" t="s">
        <v>78</v>
      </c>
    </row>
    <row r="92" spans="1:8" x14ac:dyDescent="0.2">
      <c r="A92" s="21" t="s">
        <v>15</v>
      </c>
      <c r="B92" s="22" t="str">
        <f>_xll.qlSwapIndex(,"NoFix",$A92,SettlementDays,Currency,Calendar,$F92,$G92,$H92,B$4,B$1,,EvaluationDate)</f>
        <v>obj_0071f#0000</v>
      </c>
      <c r="C92" s="22" t="str">
        <f>_xll.qlSwapIndex(,"NoFix",$A92,SettlementDays,Currency,Calendar,$F92,$G92,$H92,C$4,C$1,,EvaluationDate)</f>
        <v>obj_00723#0000</v>
      </c>
      <c r="D92" s="22" t="str">
        <f>_xll.qlSwapIndex(,"NoFix",$A92,SettlementDays,Currency,Calendar,$F92,$G92,$H92,D$4,D$1,,EvaluationDate)</f>
        <v>obj_006fc#0000</v>
      </c>
      <c r="E92" s="23" t="str">
        <f>_xll.qlSwapIndex(,"NoFix",$A92,SettlementDays,Currency,Calendar,$F92,$G92,$H92,E$4,E$1,,EvaluationDate)</f>
        <v>obj_00717#0000</v>
      </c>
      <c r="F92" s="41" t="s">
        <v>0</v>
      </c>
      <c r="G92" s="25" t="s">
        <v>77</v>
      </c>
      <c r="H92" s="25" t="s">
        <v>78</v>
      </c>
    </row>
    <row r="93" spans="1:8" x14ac:dyDescent="0.2">
      <c r="A93" s="21" t="s">
        <v>16</v>
      </c>
      <c r="B93" s="22" t="str">
        <f>_xll.qlSwapIndex(,"NoFix",$A93,SettlementDays,Currency,Calendar,$F93,$G93,$H93,B$4,B$1,,EvaluationDate)</f>
        <v>obj_00751#0000</v>
      </c>
      <c r="C93" s="22" t="str">
        <f>_xll.qlSwapIndex(,"NoFix",$A93,SettlementDays,Currency,Calendar,$F93,$G93,$H93,C$4,C$1,,EvaluationDate)</f>
        <v>obj_006de#0000</v>
      </c>
      <c r="D93" s="22" t="str">
        <f>_xll.qlSwapIndex(,"NoFix",$A93,SettlementDays,Currency,Calendar,$F93,$G93,$H93,D$4,D$1,,EvaluationDate)</f>
        <v>obj_00732#0000</v>
      </c>
      <c r="E93" s="23" t="str">
        <f>_xll.qlSwapIndex(,"NoFix",$A93,SettlementDays,Currency,Calendar,$F93,$G93,$H93,E$4,E$1,,EvaluationDate)</f>
        <v>obj_0071b#0000</v>
      </c>
      <c r="F93" s="41" t="s">
        <v>0</v>
      </c>
      <c r="G93" s="25" t="s">
        <v>77</v>
      </c>
      <c r="H93" s="25" t="s">
        <v>78</v>
      </c>
    </row>
    <row r="94" spans="1:8" x14ac:dyDescent="0.2">
      <c r="A94" s="21" t="s">
        <v>17</v>
      </c>
      <c r="B94" s="22" t="str">
        <f>_xll.qlSwapIndex(,"NoFix",$A94,SettlementDays,Currency,Calendar,$F94,$G94,$H94,B$4,B$1,,EvaluationDate)</f>
        <v>obj_00762#0000</v>
      </c>
      <c r="C94" s="22" t="str">
        <f>_xll.qlSwapIndex(,"NoFix",$A94,SettlementDays,Currency,Calendar,$F94,$G94,$H94,C$4,C$1,,EvaluationDate)</f>
        <v>obj_00756#0000</v>
      </c>
      <c r="D94" s="22" t="str">
        <f>_xll.qlSwapIndex(,"NoFix",$A94,SettlementDays,Currency,Calendar,$F94,$G94,$H94,D$4,D$1,,EvaluationDate)</f>
        <v>obj_00740#0000</v>
      </c>
      <c r="E94" s="23" t="str">
        <f>_xll.qlSwapIndex(,"NoFix",$A94,SettlementDays,Currency,Calendar,$F94,$G94,$H94,E$4,E$1,,EvaluationDate)</f>
        <v>obj_006d8#0000</v>
      </c>
      <c r="F94" s="41" t="s">
        <v>0</v>
      </c>
      <c r="G94" s="25" t="s">
        <v>77</v>
      </c>
      <c r="H94" s="25" t="s">
        <v>78</v>
      </c>
    </row>
    <row r="95" spans="1:8" x14ac:dyDescent="0.2">
      <c r="A95" s="21" t="s">
        <v>18</v>
      </c>
      <c r="B95" s="22" t="str">
        <f>_xll.qlSwapIndex(,"NoFix",$A95,SettlementDays,Currency,Calendar,$F95,$G95,$H95,B$4,B$1,,EvaluationDate)</f>
        <v>obj_00683#0000</v>
      </c>
      <c r="C95" s="22" t="str">
        <f>_xll.qlSwapIndex(,"NoFix",$A95,SettlementDays,Currency,Calendar,$F95,$G95,$H95,C$4,C$1,,EvaluationDate)</f>
        <v>obj_00689#0000</v>
      </c>
      <c r="D95" s="22" t="str">
        <f>_xll.qlSwapIndex(,"NoFix",$A95,SettlementDays,Currency,Calendar,$F95,$G95,$H95,D$4,D$1,,EvaluationDate)</f>
        <v>obj_00770#0000</v>
      </c>
      <c r="E95" s="23" t="str">
        <f>_xll.qlSwapIndex(,"NoFix",$A95,SettlementDays,Currency,Calendar,$F95,$G95,$H95,E$4,E$1,,EvaluationDate)</f>
        <v>obj_00745#0000</v>
      </c>
      <c r="F95" s="41" t="s">
        <v>0</v>
      </c>
      <c r="G95" s="25" t="s">
        <v>77</v>
      </c>
      <c r="H95" s="25" t="s">
        <v>78</v>
      </c>
    </row>
    <row r="96" spans="1:8" x14ac:dyDescent="0.2">
      <c r="A96" s="21" t="s">
        <v>19</v>
      </c>
      <c r="B96" s="22" t="str">
        <f>_xll.qlSwapIndex(,"NoFix",$A96,SettlementDays,Currency,Calendar,$F96,$G96,$H96,B$4,B$1,,EvaluationDate)</f>
        <v>obj_0073c#0000</v>
      </c>
      <c r="C96" s="22" t="str">
        <f>_xll.qlSwapIndex(,"NoFix",$A96,SettlementDays,Currency,Calendar,$F96,$G96,$H96,C$4,C$1,,EvaluationDate)</f>
        <v>obj_006b2#0000</v>
      </c>
      <c r="D96" s="22" t="str">
        <f>_xll.qlSwapIndex(,"NoFix",$A96,SettlementDays,Currency,Calendar,$F96,$G96,$H96,D$4,D$1,,EvaluationDate)</f>
        <v>obj_0070a#0000</v>
      </c>
      <c r="E96" s="23" t="str">
        <f>_xll.qlSwapIndex(,"NoFix",$A96,SettlementDays,Currency,Calendar,$F96,$G96,$H96,E$4,E$1,,EvaluationDate)</f>
        <v>obj_006c8#0000</v>
      </c>
      <c r="F96" s="41" t="s">
        <v>0</v>
      </c>
      <c r="G96" s="25" t="s">
        <v>77</v>
      </c>
      <c r="H96" s="25" t="s">
        <v>78</v>
      </c>
    </row>
    <row r="97" spans="1:8" x14ac:dyDescent="0.2">
      <c r="A97" s="21" t="s">
        <v>20</v>
      </c>
      <c r="B97" s="22" t="str">
        <f>_xll.qlSwapIndex(,"NoFix",$A97,SettlementDays,Currency,Calendar,$F97,$G97,$H97,B$4,B$1,,EvaluationDate)</f>
        <v>obj_006c9#0000</v>
      </c>
      <c r="C97" s="22" t="str">
        <f>_xll.qlSwapIndex(,"NoFix",$A97,SettlementDays,Currency,Calendar,$F97,$G97,$H97,C$4,C$1,,EvaluationDate)</f>
        <v>obj_00753#0000</v>
      </c>
      <c r="D97" s="22" t="str">
        <f>_xll.qlSwapIndex(,"NoFix",$A97,SettlementDays,Currency,Calendar,$F97,$G97,$H97,D$4,D$1,,EvaluationDate)</f>
        <v>obj_00750#0000</v>
      </c>
      <c r="E97" s="23" t="str">
        <f>_xll.qlSwapIndex(,"NoFix",$A97,SettlementDays,Currency,Calendar,$F97,$G97,$H97,E$4,E$1,,EvaluationDate)</f>
        <v>obj_0067b#0000</v>
      </c>
      <c r="F97" s="41" t="s">
        <v>0</v>
      </c>
      <c r="G97" s="25" t="s">
        <v>77</v>
      </c>
      <c r="H97" s="25" t="s">
        <v>78</v>
      </c>
    </row>
    <row r="98" spans="1:8" x14ac:dyDescent="0.2">
      <c r="A98" s="21" t="s">
        <v>21</v>
      </c>
      <c r="B98" s="22" t="str">
        <f>_xll.qlSwapIndex(,"NoFix",$A98,SettlementDays,Currency,Calendar,$F98,$G98,$H98,B$4,B$1,,EvaluationDate)</f>
        <v>obj_00744#0000</v>
      </c>
      <c r="C98" s="22" t="str">
        <f>_xll.qlSwapIndex(,"NoFix",$A98,SettlementDays,Currency,Calendar,$F98,$G98,$H98,C$4,C$1,,EvaluationDate)</f>
        <v>obj_006df#0000</v>
      </c>
      <c r="D98" s="22" t="str">
        <f>_xll.qlSwapIndex(,"NoFix",$A98,SettlementDays,Currency,Calendar,$F98,$G98,$H98,D$4,D$1,,EvaluationDate)</f>
        <v>obj_006d1#0000</v>
      </c>
      <c r="E98" s="23" t="str">
        <f>_xll.qlSwapIndex(,"NoFix",$A98,SettlementDays,Currency,Calendar,$F98,$G98,$H98,E$4,E$1,,EvaluationDate)</f>
        <v>obj_006e2#0000</v>
      </c>
      <c r="F98" s="41" t="s">
        <v>0</v>
      </c>
      <c r="G98" s="25" t="s">
        <v>77</v>
      </c>
      <c r="H98" s="25" t="s">
        <v>78</v>
      </c>
    </row>
    <row r="99" spans="1:8" x14ac:dyDescent="0.2">
      <c r="A99" s="21" t="s">
        <v>22</v>
      </c>
      <c r="B99" s="22" t="str">
        <f>_xll.qlSwapIndex(,"NoFix",$A99,SettlementDays,Currency,Calendar,$F99,$G99,$H99,B$4,B$1,,EvaluationDate)</f>
        <v>obj_006a0#0000</v>
      </c>
      <c r="C99" s="22" t="str">
        <f>_xll.qlSwapIndex(,"NoFix",$A99,SettlementDays,Currency,Calendar,$F99,$G99,$H99,C$4,C$1,,EvaluationDate)</f>
        <v>obj_006e1#0000</v>
      </c>
      <c r="D99" s="22" t="str">
        <f>_xll.qlSwapIndex(,"NoFix",$A99,SettlementDays,Currency,Calendar,$F99,$G99,$H99,D$4,D$1,,EvaluationDate)</f>
        <v>obj_006bc#0000</v>
      </c>
      <c r="E99" s="23" t="str">
        <f>_xll.qlSwapIndex(,"NoFix",$A99,SettlementDays,Currency,Calendar,$F99,$G99,$H99,E$4,E$1,,EvaluationDate)</f>
        <v>obj_006c6#0000</v>
      </c>
      <c r="F99" s="41" t="s">
        <v>0</v>
      </c>
      <c r="G99" s="25" t="s">
        <v>77</v>
      </c>
      <c r="H99" s="25" t="s">
        <v>78</v>
      </c>
    </row>
    <row r="100" spans="1:8" x14ac:dyDescent="0.2">
      <c r="A100" s="21" t="s">
        <v>23</v>
      </c>
      <c r="B100" s="22" t="str">
        <f>_xll.qlSwapIndex(,"NoFix",$A100,SettlementDays,Currency,Calendar,$F100,$G100,$H100,B$4,B$1,,EvaluationDate)</f>
        <v>obj_00710#0000</v>
      </c>
      <c r="C100" s="22" t="str">
        <f>_xll.qlSwapIndex(,"NoFix",$A100,SettlementDays,Currency,Calendar,$F100,$G100,$H100,C$4,C$1,,EvaluationDate)</f>
        <v>obj_0072b#0000</v>
      </c>
      <c r="D100" s="22" t="str">
        <f>_xll.qlSwapIndex(,"NoFix",$A100,SettlementDays,Currency,Calendar,$F100,$G100,$H100,D$4,D$1,,EvaluationDate)</f>
        <v>obj_006f6#0000</v>
      </c>
      <c r="E100" s="23" t="str">
        <f>_xll.qlSwapIndex(,"NoFix",$A100,SettlementDays,Currency,Calendar,$F100,$G100,$H100,E$4,E$1,,EvaluationDate)</f>
        <v>obj_00684#0000</v>
      </c>
      <c r="F100" s="41" t="s">
        <v>0</v>
      </c>
      <c r="G100" s="25" t="s">
        <v>77</v>
      </c>
      <c r="H100" s="25" t="s">
        <v>78</v>
      </c>
    </row>
    <row r="101" spans="1:8" x14ac:dyDescent="0.2">
      <c r="A101" s="21" t="s">
        <v>24</v>
      </c>
      <c r="B101" s="22" t="str">
        <f>_xll.qlSwapIndex(,"NoFix",$A101,SettlementDays,Currency,Calendar,$F101,$G101,$H101,B$4,B$1,,EvaluationDate)</f>
        <v>obj_006a2#0000</v>
      </c>
      <c r="C101" s="22" t="str">
        <f>_xll.qlSwapIndex(,"NoFix",$A101,SettlementDays,Currency,Calendar,$F101,$G101,$H101,C$4,C$1,,EvaluationDate)</f>
        <v>obj_006b0#0000</v>
      </c>
      <c r="D101" s="22" t="str">
        <f>_xll.qlSwapIndex(,"NoFix",$A101,SettlementDays,Currency,Calendar,$F101,$G101,$H101,D$4,D$1,,EvaluationDate)</f>
        <v>obj_00703#0000</v>
      </c>
      <c r="E101" s="23" t="str">
        <f>_xll.qlSwapIndex(,"NoFix",$A101,SettlementDays,Currency,Calendar,$F101,$G101,$H101,E$4,E$1,,EvaluationDate)</f>
        <v>obj_0070f#0000</v>
      </c>
      <c r="F101" s="41" t="s">
        <v>0</v>
      </c>
      <c r="G101" s="25" t="s">
        <v>77</v>
      </c>
      <c r="H101" s="25" t="s">
        <v>78</v>
      </c>
    </row>
    <row r="102" spans="1:8" x14ac:dyDescent="0.2">
      <c r="A102" s="21" t="s">
        <v>25</v>
      </c>
      <c r="B102" s="22" t="str">
        <f>_xll.qlSwapIndex(,"NoFix",$A102,SettlementDays,Currency,Calendar,$F102,$G102,$H102,B$4,B$1,,EvaluationDate)</f>
        <v>obj_006b3#0000</v>
      </c>
      <c r="C102" s="22" t="str">
        <f>_xll.qlSwapIndex(,"NoFix",$A102,SettlementDays,Currency,Calendar,$F102,$G102,$H102,C$4,C$1,,EvaluationDate)</f>
        <v>obj_0075b#0000</v>
      </c>
      <c r="D102" s="22" t="str">
        <f>_xll.qlSwapIndex(,"NoFix",$A102,SettlementDays,Currency,Calendar,$F102,$G102,$H102,D$4,D$1,,EvaluationDate)</f>
        <v>obj_006e6#0000</v>
      </c>
      <c r="E102" s="23" t="str">
        <f>_xll.qlSwapIndex(,"NoFix",$A102,SettlementDays,Currency,Calendar,$F102,$G102,$H102,E$4,E$1,,EvaluationDate)</f>
        <v>obj_0076a#0000</v>
      </c>
      <c r="F102" s="41" t="s">
        <v>0</v>
      </c>
      <c r="G102" s="25" t="s">
        <v>77</v>
      </c>
      <c r="H102" s="25" t="s">
        <v>78</v>
      </c>
    </row>
    <row r="103" spans="1:8" x14ac:dyDescent="0.2">
      <c r="A103" s="21" t="s">
        <v>26</v>
      </c>
      <c r="B103" s="22" t="str">
        <f>_xll.qlSwapIndex(,"NoFix",$A103,SettlementDays,Currency,Calendar,$F103,$G103,$H103,B$4,B$1,,EvaluationDate)</f>
        <v>obj_00729#0000</v>
      </c>
      <c r="C103" s="22" t="str">
        <f>_xll.qlSwapIndex(,"NoFix",$A103,SettlementDays,Currency,Calendar,$F103,$G103,$H103,C$4,C$1,,EvaluationDate)</f>
        <v>obj_00760#0000</v>
      </c>
      <c r="D103" s="22" t="str">
        <f>_xll.qlSwapIndex(,"NoFix",$A103,SettlementDays,Currency,Calendar,$F103,$G103,$H103,D$4,D$1,,EvaluationDate)</f>
        <v>obj_0076e#0000</v>
      </c>
      <c r="E103" s="23" t="str">
        <f>_xll.qlSwapIndex(,"NoFix",$A103,SettlementDays,Currency,Calendar,$F103,$G103,$H103,E$4,E$1,,EvaluationDate)</f>
        <v>obj_0074d#0000</v>
      </c>
      <c r="F103" s="41" t="s">
        <v>0</v>
      </c>
      <c r="G103" s="25" t="s">
        <v>77</v>
      </c>
      <c r="H103" s="25" t="s">
        <v>78</v>
      </c>
    </row>
    <row r="104" spans="1:8" x14ac:dyDescent="0.2">
      <c r="A104" s="21" t="s">
        <v>27</v>
      </c>
      <c r="B104" s="22" t="str">
        <f>_xll.qlSwapIndex(,"NoFix",$A104,SettlementDays,Currency,Calendar,$F104,$G104,$H104,B$4,B$1,,EvaluationDate)</f>
        <v>obj_00764#0000</v>
      </c>
      <c r="C104" s="22" t="str">
        <f>_xll.qlSwapIndex(,"NoFix",$A104,SettlementDays,Currency,Calendar,$F104,$G104,$H104,C$4,C$1,,EvaluationDate)</f>
        <v>obj_00758#0000</v>
      </c>
      <c r="D104" s="22" t="str">
        <f>_xll.qlSwapIndex(,"NoFix",$A104,SettlementDays,Currency,Calendar,$F104,$G104,$H104,D$4,D$1,,EvaluationDate)</f>
        <v>obj_00690#0000</v>
      </c>
      <c r="E104" s="23" t="str">
        <f>_xll.qlSwapIndex(,"NoFix",$A104,SettlementDays,Currency,Calendar,$F104,$G104,$H104,E$4,E$1,,EvaluationDate)</f>
        <v>obj_006eb#0000</v>
      </c>
      <c r="F104" s="41" t="s">
        <v>0</v>
      </c>
      <c r="G104" s="25" t="s">
        <v>77</v>
      </c>
      <c r="H104" s="25" t="s">
        <v>78</v>
      </c>
    </row>
    <row r="105" spans="1:8" x14ac:dyDescent="0.2">
      <c r="A105" s="21" t="s">
        <v>28</v>
      </c>
      <c r="B105" s="22" t="str">
        <f>_xll.qlSwapIndex(,"NoFix",$A105,SettlementDays,Currency,Calendar,$F105,$G105,$H105,B$4,B$1,,EvaluationDate)</f>
        <v>obj_006ff#0000</v>
      </c>
      <c r="C105" s="22" t="str">
        <f>_xll.qlSwapIndex(,"NoFix",$A105,SettlementDays,Currency,Calendar,$F105,$G105,$H105,C$4,C$1,,EvaluationDate)</f>
        <v>obj_006cf#0000</v>
      </c>
      <c r="D105" s="22" t="str">
        <f>_xll.qlSwapIndex(,"NoFix",$A105,SettlementDays,Currency,Calendar,$F105,$G105,$H105,D$4,D$1,,EvaluationDate)</f>
        <v>obj_00696#0000</v>
      </c>
      <c r="E105" s="23" t="str">
        <f>_xll.qlSwapIndex(,"NoFix",$A105,SettlementDays,Currency,Calendar,$F105,$G105,$H105,E$4,E$1,,EvaluationDate)</f>
        <v>obj_006a5#0000</v>
      </c>
      <c r="F105" s="41" t="s">
        <v>0</v>
      </c>
      <c r="G105" s="25" t="s">
        <v>77</v>
      </c>
      <c r="H105" s="25" t="s">
        <v>78</v>
      </c>
    </row>
    <row r="106" spans="1:8" x14ac:dyDescent="0.2">
      <c r="A106" s="21" t="s">
        <v>29</v>
      </c>
      <c r="B106" s="22" t="str">
        <f>_xll.qlSwapIndex(,"NoFix",$A106,SettlementDays,Currency,Calendar,$F106,$G106,$H106,B$4,B$1,,EvaluationDate)</f>
        <v>obj_006b6#0000</v>
      </c>
      <c r="C106" s="22" t="str">
        <f>_xll.qlSwapIndex(,"NoFix",$A106,SettlementDays,Currency,Calendar,$F106,$G106,$H106,C$4,C$1,,EvaluationDate)</f>
        <v>obj_0069a#0000</v>
      </c>
      <c r="D106" s="22" t="str">
        <f>_xll.qlSwapIndex(,"NoFix",$A106,SettlementDays,Currency,Calendar,$F106,$G106,$H106,D$4,D$1,,EvaluationDate)</f>
        <v>obj_00718#0000</v>
      </c>
      <c r="E106" s="23" t="str">
        <f>_xll.qlSwapIndex(,"NoFix",$A106,SettlementDays,Currency,Calendar,$F106,$G106,$H106,E$4,E$1,,EvaluationDate)</f>
        <v>obj_006ba#0000</v>
      </c>
      <c r="F106" s="41" t="s">
        <v>0</v>
      </c>
      <c r="G106" s="25" t="s">
        <v>77</v>
      </c>
      <c r="H106" s="25" t="s">
        <v>78</v>
      </c>
    </row>
    <row r="107" spans="1:8" x14ac:dyDescent="0.2">
      <c r="A107" s="21" t="s">
        <v>30</v>
      </c>
      <c r="B107" s="22" t="str">
        <f>_xll.qlSwapIndex(,"NoFix",$A107,SettlementDays,Currency,Calendar,$F107,$G107,$H107,B$4,B$1,,EvaluationDate)</f>
        <v>obj_00773#0000</v>
      </c>
      <c r="C107" s="22" t="str">
        <f>_xll.qlSwapIndex(,"NoFix",$A107,SettlementDays,Currency,Calendar,$F107,$G107,$H107,C$4,C$1,,EvaluationDate)</f>
        <v>obj_00749#0000</v>
      </c>
      <c r="D107" s="22" t="str">
        <f>_xll.qlSwapIndex(,"NoFix",$A107,SettlementDays,Currency,Calendar,$F107,$G107,$H107,D$4,D$1,,EvaluationDate)</f>
        <v>obj_0073b#0000</v>
      </c>
      <c r="E107" s="23" t="str">
        <f>_xll.qlSwapIndex(,"NoFix",$A107,SettlementDays,Currency,Calendar,$F107,$G107,$H107,E$4,E$1,,EvaluationDate)</f>
        <v>obj_0071e#0000</v>
      </c>
      <c r="F107" s="41" t="s">
        <v>0</v>
      </c>
      <c r="G107" s="25" t="s">
        <v>77</v>
      </c>
      <c r="H107" s="25" t="s">
        <v>78</v>
      </c>
    </row>
    <row r="108" spans="1:8" x14ac:dyDescent="0.2">
      <c r="A108" s="21" t="s">
        <v>31</v>
      </c>
      <c r="B108" s="22" t="str">
        <f>_xll.qlSwapIndex(,"NoFix",$A108,SettlementDays,Currency,Calendar,$F108,$G108,$H108,B$4,B$1,,EvaluationDate)</f>
        <v>obj_00716#0000</v>
      </c>
      <c r="C108" s="22" t="str">
        <f>_xll.qlSwapIndex(,"NoFix",$A108,SettlementDays,Currency,Calendar,$F108,$G108,$H108,C$4,C$1,,EvaluationDate)</f>
        <v>obj_0073e#0000</v>
      </c>
      <c r="D108" s="22" t="str">
        <f>_xll.qlSwapIndex(,"NoFix",$A108,SettlementDays,Currency,Calendar,$F108,$G108,$H108,D$4,D$1,,EvaluationDate)</f>
        <v>obj_0074b#0000</v>
      </c>
      <c r="E108" s="23" t="str">
        <f>_xll.qlSwapIndex(,"NoFix",$A108,SettlementDays,Currency,Calendar,$F108,$G108,$H108,E$4,E$1,,EvaluationDate)</f>
        <v>obj_006e5#0000</v>
      </c>
      <c r="F108" s="41" t="s">
        <v>0</v>
      </c>
      <c r="G108" s="25" t="s">
        <v>77</v>
      </c>
      <c r="H108" s="25" t="s">
        <v>78</v>
      </c>
    </row>
    <row r="109" spans="1:8" x14ac:dyDescent="0.2">
      <c r="A109" s="21" t="s">
        <v>32</v>
      </c>
      <c r="B109" s="22" t="str">
        <f>_xll.qlSwapIndex(,"NoFix",$A109,SettlementDays,Currency,Calendar,$F109,$G109,$H109,B$4,B$1,,EvaluationDate)</f>
        <v>obj_006bb#0000</v>
      </c>
      <c r="C109" s="22" t="str">
        <f>_xll.qlSwapIndex(,"NoFix",$A109,SettlementDays,Currency,Calendar,$F109,$G109,$H109,C$4,C$1,,EvaluationDate)</f>
        <v>obj_00697#0000</v>
      </c>
      <c r="D109" s="22" t="str">
        <f>_xll.qlSwapIndex(,"NoFix",$A109,SettlementDays,Currency,Calendar,$F109,$G109,$H109,D$4,D$1,,EvaluationDate)</f>
        <v>obj_00739#0000</v>
      </c>
      <c r="E109" s="23" t="str">
        <f>_xll.qlSwapIndex(,"NoFix",$A109,SettlementDays,Currency,Calendar,$F109,$G109,$H109,E$4,E$1,,EvaluationDate)</f>
        <v>obj_006c4#0000</v>
      </c>
      <c r="F109" s="41" t="s">
        <v>0</v>
      </c>
      <c r="G109" s="25" t="s">
        <v>77</v>
      </c>
      <c r="H109" s="25" t="s">
        <v>78</v>
      </c>
    </row>
    <row r="110" spans="1:8" x14ac:dyDescent="0.2">
      <c r="A110" s="21" t="s">
        <v>33</v>
      </c>
      <c r="B110" s="22" t="str">
        <f>_xll.qlSwapIndex(,"NoFix",$A110,SettlementDays,Currency,Calendar,$F110,$G110,$H110,B$4,B$1,,EvaluationDate)</f>
        <v>obj_006ae#0000</v>
      </c>
      <c r="C110" s="22" t="str">
        <f>_xll.qlSwapIndex(,"NoFix",$A110,SettlementDays,Currency,Calendar,$F110,$G110,$H110,C$4,C$1,,EvaluationDate)</f>
        <v>obj_006ce#0000</v>
      </c>
      <c r="D110" s="22" t="str">
        <f>_xll.qlSwapIndex(,"NoFix",$A110,SettlementDays,Currency,Calendar,$F110,$G110,$H110,D$4,D$1,,EvaluationDate)</f>
        <v>obj_00731#0000</v>
      </c>
      <c r="E110" s="23" t="str">
        <f>_xll.qlSwapIndex(,"NoFix",$A110,SettlementDays,Currency,Calendar,$F110,$G110,$H110,E$4,E$1,,EvaluationDate)</f>
        <v>obj_00688#0000</v>
      </c>
      <c r="F110" s="41" t="s">
        <v>0</v>
      </c>
      <c r="G110" s="25" t="s">
        <v>77</v>
      </c>
      <c r="H110" s="25" t="s">
        <v>78</v>
      </c>
    </row>
    <row r="111" spans="1:8" x14ac:dyDescent="0.2">
      <c r="A111" s="21" t="s">
        <v>34</v>
      </c>
      <c r="B111" s="22" t="str">
        <f>_xll.qlSwapIndex(,"NoFix",$A111,SettlementDays,Currency,Calendar,$F111,$G111,$H111,B$4,B$1,,EvaluationDate)</f>
        <v>obj_006cc#0000</v>
      </c>
      <c r="C111" s="22" t="str">
        <f>_xll.qlSwapIndex(,"NoFix",$A111,SettlementDays,Currency,Calendar,$F111,$G111,$H111,C$4,C$1,,EvaluationDate)</f>
        <v>obj_0074a#0000</v>
      </c>
      <c r="D111" s="22" t="str">
        <f>_xll.qlSwapIndex(,"NoFix",$A111,SettlementDays,Currency,Calendar,$F111,$G111,$H111,D$4,D$1,,EvaluationDate)</f>
        <v>obj_00768#0000</v>
      </c>
      <c r="E111" s="23" t="str">
        <f>_xll.qlSwapIndex(,"NoFix",$A111,SettlementDays,Currency,Calendar,$F111,$G111,$H111,E$4,E$1,,EvaluationDate)</f>
        <v>obj_00747#0000</v>
      </c>
      <c r="F111" s="41" t="s">
        <v>0</v>
      </c>
      <c r="G111" s="25" t="s">
        <v>77</v>
      </c>
      <c r="H111" s="25" t="s">
        <v>78</v>
      </c>
    </row>
    <row r="112" spans="1:8" x14ac:dyDescent="0.2">
      <c r="A112" s="21" t="s">
        <v>35</v>
      </c>
      <c r="B112" s="22" t="str">
        <f>_xll.qlSwapIndex(,"NoFix",$A112,SettlementDays,Currency,Calendar,$F112,$G112,$H112,B$4,B$1,,EvaluationDate)</f>
        <v>obj_00693#0000</v>
      </c>
      <c r="C112" s="22" t="str">
        <f>_xll.qlSwapIndex(,"NoFix",$A112,SettlementDays,Currency,Calendar,$F112,$G112,$H112,C$4,C$1,,EvaluationDate)</f>
        <v>obj_006c5#0000</v>
      </c>
      <c r="D112" s="22" t="str">
        <f>_xll.qlSwapIndex(,"NoFix",$A112,SettlementDays,Currency,Calendar,$F112,$G112,$H112,D$4,D$1,,EvaluationDate)</f>
        <v>obj_0073f#0000</v>
      </c>
      <c r="E112" s="23" t="str">
        <f>_xll.qlSwapIndex(,"NoFix",$A112,SettlementDays,Currency,Calendar,$F112,$G112,$H112,E$4,E$1,,EvaluationDate)</f>
        <v>obj_0076b#0000</v>
      </c>
      <c r="F112" s="41" t="s">
        <v>0</v>
      </c>
      <c r="G112" s="25" t="s">
        <v>77</v>
      </c>
      <c r="H112" s="25" t="s">
        <v>78</v>
      </c>
    </row>
    <row r="113" spans="1:8" x14ac:dyDescent="0.2">
      <c r="A113" s="21" t="s">
        <v>36</v>
      </c>
      <c r="B113" s="22" t="str">
        <f>_xll.qlSwapIndex(,"NoFix",$A113,SettlementDays,Currency,Calendar,$F113,$G113,$H113,B$4,B$1,,EvaluationDate)</f>
        <v>obj_0074e#0000</v>
      </c>
      <c r="C113" s="22" t="str">
        <f>_xll.qlSwapIndex(,"NoFix",$A113,SettlementDays,Currency,Calendar,$F113,$G113,$H113,C$4,C$1,,EvaluationDate)</f>
        <v>obj_00725#0000</v>
      </c>
      <c r="D113" s="22" t="str">
        <f>_xll.qlSwapIndex(,"NoFix",$A113,SettlementDays,Currency,Calendar,$F113,$G113,$H113,D$4,D$1,,EvaluationDate)</f>
        <v>obj_0067e#0000</v>
      </c>
      <c r="E113" s="23" t="str">
        <f>_xll.qlSwapIndex(,"NoFix",$A113,SettlementDays,Currency,Calendar,$F113,$G113,$H113,E$4,E$1,,EvaluationDate)</f>
        <v>obj_006be#0000</v>
      </c>
      <c r="F113" s="41" t="s">
        <v>0</v>
      </c>
      <c r="G113" s="25" t="s">
        <v>77</v>
      </c>
      <c r="H113" s="25" t="s">
        <v>78</v>
      </c>
    </row>
    <row r="114" spans="1:8" x14ac:dyDescent="0.2">
      <c r="A114" s="21" t="s">
        <v>37</v>
      </c>
      <c r="B114" s="22" t="str">
        <f>_xll.qlSwapIndex(,"NoFix",$A114,SettlementDays,Currency,Calendar,$F114,$G114,$H114,B$4,B$1,,EvaluationDate)</f>
        <v>obj_006c7#0000</v>
      </c>
      <c r="C114" s="22" t="str">
        <f>_xll.qlSwapIndex(,"NoFix",$A114,SettlementDays,Currency,Calendar,$F114,$G114,$H114,C$4,C$1,,EvaluationDate)</f>
        <v>obj_00735#0000</v>
      </c>
      <c r="D114" s="22" t="str">
        <f>_xll.qlSwapIndex(,"NoFix",$A114,SettlementDays,Currency,Calendar,$F114,$G114,$H114,D$4,D$1,,EvaluationDate)</f>
        <v>obj_00774#0000</v>
      </c>
      <c r="E114" s="23" t="str">
        <f>_xll.qlSwapIndex(,"NoFix",$A114,SettlementDays,Currency,Calendar,$F114,$G114,$H114,E$4,E$1,,EvaluationDate)</f>
        <v>obj_006d6#0000</v>
      </c>
      <c r="F114" s="41" t="s">
        <v>0</v>
      </c>
      <c r="G114" s="25" t="s">
        <v>77</v>
      </c>
      <c r="H114" s="25" t="s">
        <v>78</v>
      </c>
    </row>
    <row r="115" spans="1:8" x14ac:dyDescent="0.2">
      <c r="A115" s="21" t="s">
        <v>38</v>
      </c>
      <c r="B115" s="22" t="str">
        <f>_xll.qlSwapIndex(,"NoFix",$A115,SettlementDays,Currency,Calendar,$F115,$G115,$H115,B$4,B$1,,EvaluationDate)</f>
        <v>obj_006bd#0000</v>
      </c>
      <c r="C115" s="22" t="str">
        <f>_xll.qlSwapIndex(,"NoFix",$A115,SettlementDays,Currency,Calendar,$F115,$G115,$H115,C$4,C$1,,EvaluationDate)</f>
        <v>obj_006af#0000</v>
      </c>
      <c r="D115" s="22" t="str">
        <f>_xll.qlSwapIndex(,"NoFix",$A115,SettlementDays,Currency,Calendar,$F115,$G115,$H115,D$4,D$1,,EvaluationDate)</f>
        <v>obj_00730#0000</v>
      </c>
      <c r="E115" s="23" t="str">
        <f>_xll.qlSwapIndex(,"NoFix",$A115,SettlementDays,Currency,Calendar,$F115,$G115,$H115,E$4,E$1,,EvaluationDate)</f>
        <v>obj_006a3#0000</v>
      </c>
      <c r="F115" s="41" t="s">
        <v>0</v>
      </c>
      <c r="G115" s="25" t="s">
        <v>77</v>
      </c>
      <c r="H115" s="25" t="s">
        <v>78</v>
      </c>
    </row>
    <row r="116" spans="1:8" x14ac:dyDescent="0.2">
      <c r="A116" s="21" t="s">
        <v>39</v>
      </c>
      <c r="B116" s="22" t="str">
        <f>_xll.qlSwapIndex(,"NoFix",$A116,SettlementDays,Currency,Calendar,$F116,$G116,$H116,B$4,B$1,,EvaluationDate)</f>
        <v>obj_00714#0000</v>
      </c>
      <c r="C116" s="22" t="str">
        <f>_xll.qlSwapIndex(,"NoFix",$A116,SettlementDays,Currency,Calendar,$F116,$G116,$H116,C$4,C$1,,EvaluationDate)</f>
        <v>obj_006e4#0000</v>
      </c>
      <c r="D116" s="22" t="str">
        <f>_xll.qlSwapIndex(,"NoFix",$A116,SettlementDays,Currency,Calendar,$F116,$G116,$H116,D$4,D$1,,EvaluationDate)</f>
        <v>obj_0069b#0000</v>
      </c>
      <c r="E116" s="23" t="str">
        <f>_xll.qlSwapIndex(,"NoFix",$A116,SettlementDays,Currency,Calendar,$F116,$G116,$H116,E$4,E$1,,EvaluationDate)</f>
        <v>obj_00721#0000</v>
      </c>
      <c r="F116" s="41" t="s">
        <v>0</v>
      </c>
      <c r="G116" s="25" t="s">
        <v>77</v>
      </c>
      <c r="H116" s="25" t="s">
        <v>78</v>
      </c>
    </row>
    <row r="117" spans="1:8" x14ac:dyDescent="0.2">
      <c r="A117" s="21" t="s">
        <v>40</v>
      </c>
      <c r="B117" s="22" t="str">
        <f>_xll.qlSwapIndex(,"NoFix",$A117,SettlementDays,Currency,Calendar,$F117,$G117,$H117,B$4,B$1,,EvaluationDate)</f>
        <v>obj_00720#0000</v>
      </c>
      <c r="C117" s="22" t="str">
        <f>_xll.qlSwapIndex(,"NoFix",$A117,SettlementDays,Currency,Calendar,$F117,$G117,$H117,C$4,C$1,,EvaluationDate)</f>
        <v>obj_00707#0000</v>
      </c>
      <c r="D117" s="22" t="str">
        <f>_xll.qlSwapIndex(,"NoFix",$A117,SettlementDays,Currency,Calendar,$F117,$G117,$H117,D$4,D$1,,EvaluationDate)</f>
        <v>obj_006e8#0000</v>
      </c>
      <c r="E117" s="23" t="str">
        <f>_xll.qlSwapIndex(,"NoFix",$A117,SettlementDays,Currency,Calendar,$F117,$G117,$H117,E$4,E$1,,EvaluationDate)</f>
        <v>obj_006b7#0000</v>
      </c>
      <c r="F117" s="41" t="s">
        <v>0</v>
      </c>
      <c r="G117" s="25" t="s">
        <v>77</v>
      </c>
      <c r="H117" s="25" t="s">
        <v>78</v>
      </c>
    </row>
    <row r="118" spans="1:8" x14ac:dyDescent="0.2">
      <c r="A118" s="21" t="s">
        <v>41</v>
      </c>
      <c r="B118" s="22" t="str">
        <f>_xll.qlSwapIndex(,"NoFix",$A118,SettlementDays,Currency,Calendar,$F118,$G118,$H118,B$4,B$1,,EvaluationDate)</f>
        <v>obj_0070d#0000</v>
      </c>
      <c r="C118" s="22" t="str">
        <f>_xll.qlSwapIndex(,"NoFix",$A118,SettlementDays,Currency,Calendar,$F118,$G118,$H118,C$4,C$1,,EvaluationDate)</f>
        <v>obj_0076d#0000</v>
      </c>
      <c r="D118" s="22" t="str">
        <f>_xll.qlSwapIndex(,"NoFix",$A118,SettlementDays,Currency,Calendar,$F118,$G118,$H118,D$4,D$1,,EvaluationDate)</f>
        <v>obj_00698#0000</v>
      </c>
      <c r="E118" s="23" t="str">
        <f>_xll.qlSwapIndex(,"NoFix",$A118,SettlementDays,Currency,Calendar,$F118,$G118,$H118,E$4,E$1,,EvaluationDate)</f>
        <v>obj_006dd#0000</v>
      </c>
      <c r="F118" s="41" t="s">
        <v>0</v>
      </c>
      <c r="G118" s="25" t="s">
        <v>77</v>
      </c>
      <c r="H118" s="25" t="s">
        <v>78</v>
      </c>
    </row>
    <row r="119" spans="1:8" x14ac:dyDescent="0.2">
      <c r="A119" s="21" t="s">
        <v>42</v>
      </c>
      <c r="B119" s="22" t="str">
        <f>_xll.qlSwapIndex(,"NoFix",$A119,SettlementDays,Currency,Calendar,$F119,$G119,$H119,B$4,B$1,,EvaluationDate)</f>
        <v>obj_00682#0000</v>
      </c>
      <c r="C119" s="22" t="str">
        <f>_xll.qlSwapIndex(,"NoFix",$A119,SettlementDays,Currency,Calendar,$F119,$G119,$H119,C$4,C$1,,EvaluationDate)</f>
        <v>obj_0068b#0000</v>
      </c>
      <c r="D119" s="22" t="str">
        <f>_xll.qlSwapIndex(,"NoFix",$A119,SettlementDays,Currency,Calendar,$F119,$G119,$H119,D$4,D$1,,EvaluationDate)</f>
        <v>obj_0072a#0000</v>
      </c>
      <c r="E119" s="23" t="str">
        <f>_xll.qlSwapIndex(,"NoFix",$A119,SettlementDays,Currency,Calendar,$F119,$G119,$H119,E$4,E$1,,EvaluationDate)</f>
        <v>obj_006e3#0000</v>
      </c>
      <c r="F119" s="41" t="s">
        <v>0</v>
      </c>
      <c r="G119" s="25" t="s">
        <v>77</v>
      </c>
      <c r="H119" s="25" t="s">
        <v>78</v>
      </c>
    </row>
    <row r="120" spans="1:8" x14ac:dyDescent="0.2">
      <c r="A120" s="21" t="s">
        <v>43</v>
      </c>
      <c r="B120" s="22" t="str">
        <f>_xll.qlSwapIndex(,"NoFix",$A120,SettlementDays,Currency,Calendar,$F120,$G120,$H120,B$4,B$1,,EvaluationDate)</f>
        <v>obj_006db#0000</v>
      </c>
      <c r="C120" s="22" t="str">
        <f>_xll.qlSwapIndex(,"NoFix",$A120,SettlementDays,Currency,Calendar,$F120,$G120,$H120,C$4,C$1,,EvaluationDate)</f>
        <v>obj_0067a#0000</v>
      </c>
      <c r="D120" s="22" t="str">
        <f>_xll.qlSwapIndex(,"NoFix",$A120,SettlementDays,Currency,Calendar,$F120,$G120,$H120,D$4,D$1,,EvaluationDate)</f>
        <v>obj_00748#0000</v>
      </c>
      <c r="E120" s="23" t="str">
        <f>_xll.qlSwapIndex(,"NoFix",$A120,SettlementDays,Currency,Calendar,$F120,$G120,$H120,E$4,E$1,,EvaluationDate)</f>
        <v>obj_00681#0000</v>
      </c>
      <c r="F120" s="41" t="s">
        <v>0</v>
      </c>
      <c r="G120" s="25" t="s">
        <v>77</v>
      </c>
      <c r="H120" s="25" t="s">
        <v>78</v>
      </c>
    </row>
    <row r="121" spans="1:8" x14ac:dyDescent="0.2">
      <c r="A121" s="21" t="s">
        <v>44</v>
      </c>
      <c r="B121" s="22" t="str">
        <f>_xll.qlSwapIndex(,"NoFix",$A121,SettlementDays,Currency,Calendar,$F121,$G121,$H121,B$4,B$1,,EvaluationDate)</f>
        <v>obj_006b9#0000</v>
      </c>
      <c r="C121" s="22" t="str">
        <f>_xll.qlSwapIndex(,"NoFix",$A121,SettlementDays,Currency,Calendar,$F121,$G121,$H121,C$4,C$1,,EvaluationDate)</f>
        <v>obj_0070e#0000</v>
      </c>
      <c r="D121" s="22" t="str">
        <f>_xll.qlSwapIndex(,"NoFix",$A121,SettlementDays,Currency,Calendar,$F121,$G121,$H121,D$4,D$1,,EvaluationDate)</f>
        <v>obj_006a9#0000</v>
      </c>
      <c r="E121" s="23" t="str">
        <f>_xll.qlSwapIndex(,"NoFix",$A121,SettlementDays,Currency,Calendar,$F121,$G121,$H121,E$4,E$1,,EvaluationDate)</f>
        <v>obj_006d0#0000</v>
      </c>
      <c r="F121" s="41" t="s">
        <v>0</v>
      </c>
      <c r="G121" s="25" t="s">
        <v>77</v>
      </c>
      <c r="H121" s="25" t="s">
        <v>78</v>
      </c>
    </row>
    <row r="122" spans="1:8" x14ac:dyDescent="0.2">
      <c r="A122" s="21" t="s">
        <v>45</v>
      </c>
      <c r="B122" s="22" t="str">
        <f>_xll.qlSwapIndex(,"NoFix",$A122,SettlementDays,Currency,Calendar,$F122,$G122,$H122,B$4,B$1,,EvaluationDate)</f>
        <v>obj_00737#0000</v>
      </c>
      <c r="C122" s="22" t="str">
        <f>_xll.qlSwapIndex(,"NoFix",$A122,SettlementDays,Currency,Calendar,$F122,$G122,$H122,C$4,C$1,,EvaluationDate)</f>
        <v>obj_0075e#0000</v>
      </c>
      <c r="D122" s="22" t="str">
        <f>_xll.qlSwapIndex(,"NoFix",$A122,SettlementDays,Currency,Calendar,$F122,$G122,$H122,D$4,D$1,,EvaluationDate)</f>
        <v>obj_006a8#0000</v>
      </c>
      <c r="E122" s="23" t="str">
        <f>_xll.qlSwapIndex(,"NoFix",$A122,SettlementDays,Currency,Calendar,$F122,$G122,$H122,E$4,E$1,,EvaluationDate)</f>
        <v>obj_006f0#0000</v>
      </c>
      <c r="F122" s="41" t="s">
        <v>0</v>
      </c>
      <c r="G122" s="25" t="s">
        <v>77</v>
      </c>
      <c r="H122" s="25" t="s">
        <v>78</v>
      </c>
    </row>
    <row r="123" spans="1:8" x14ac:dyDescent="0.2">
      <c r="A123" s="21" t="s">
        <v>46</v>
      </c>
      <c r="B123" s="22" t="str">
        <f>_xll.qlSwapIndex(,"NoFix",$A123,SettlementDays,Currency,Calendar,$F123,$G123,$H123,B$4,B$1,,EvaluationDate)</f>
        <v>obj_00722#0000</v>
      </c>
      <c r="C123" s="22" t="str">
        <f>_xll.qlSwapIndex(,"NoFix",$A123,SettlementDays,Currency,Calendar,$F123,$G123,$H123,C$4,C$1,,EvaluationDate)</f>
        <v>obj_006cd#0000</v>
      </c>
      <c r="D123" s="22" t="str">
        <f>_xll.qlSwapIndex(,"NoFix",$A123,SettlementDays,Currency,Calendar,$F123,$G123,$H123,D$4,D$1,,EvaluationDate)</f>
        <v>obj_00727#0000</v>
      </c>
      <c r="E123" s="23" t="str">
        <f>_xll.qlSwapIndex(,"NoFix",$A123,SettlementDays,Currency,Calendar,$F123,$G123,$H123,E$4,E$1,,EvaluationDate)</f>
        <v>obj_00719#0000</v>
      </c>
      <c r="F123" s="41" t="s">
        <v>0</v>
      </c>
      <c r="G123" s="25" t="s">
        <v>77</v>
      </c>
      <c r="H123" s="25" t="s">
        <v>78</v>
      </c>
    </row>
    <row r="124" spans="1:8" x14ac:dyDescent="0.2">
      <c r="A124" s="21" t="s">
        <v>47</v>
      </c>
      <c r="B124" s="22" t="str">
        <f>_xll.qlSwapIndex(,"NoFix",$A124,SettlementDays,Currency,Calendar,$F124,$G124,$H124,B$4,B$1,,EvaluationDate)</f>
        <v>obj_006ab#0000</v>
      </c>
      <c r="C124" s="22" t="str">
        <f>_xll.qlSwapIndex(,"NoFix",$A124,SettlementDays,Currency,Calendar,$F124,$G124,$H124,C$4,C$1,,EvaluationDate)</f>
        <v>obj_00691#0000</v>
      </c>
      <c r="D124" s="22" t="str">
        <f>_xll.qlSwapIndex(,"NoFix",$A124,SettlementDays,Currency,Calendar,$F124,$G124,$H124,D$4,D$1,,EvaluationDate)</f>
        <v>obj_00705#0000</v>
      </c>
      <c r="E124" s="23" t="str">
        <f>_xll.qlSwapIndex(,"NoFix",$A124,SettlementDays,Currency,Calendar,$F124,$G124,$H124,E$4,E$1,,EvaluationDate)</f>
        <v>obj_006ed#0000</v>
      </c>
      <c r="F124" s="41" t="s">
        <v>0</v>
      </c>
      <c r="G124" s="25" t="s">
        <v>77</v>
      </c>
      <c r="H124" s="25" t="s">
        <v>78</v>
      </c>
    </row>
    <row r="125" spans="1:8" x14ac:dyDescent="0.2">
      <c r="A125" s="21" t="s">
        <v>48</v>
      </c>
      <c r="B125" s="22" t="str">
        <f>_xll.qlSwapIndex(,"NoFix",$A125,SettlementDays,Currency,Calendar,$F125,$G125,$H125,B$4,B$1,,EvaluationDate)</f>
        <v>obj_00759#0000</v>
      </c>
      <c r="C125" s="22" t="str">
        <f>_xll.qlSwapIndex(,"NoFix",$A125,SettlementDays,Currency,Calendar,$F125,$G125,$H125,C$4,C$1,,EvaluationDate)</f>
        <v>obj_0075d#0000</v>
      </c>
      <c r="D125" s="22" t="str">
        <f>_xll.qlSwapIndex(,"NoFix",$A125,SettlementDays,Currency,Calendar,$F125,$G125,$H125,D$4,D$1,,EvaluationDate)</f>
        <v>obj_0071c#0000</v>
      </c>
      <c r="E125" s="23" t="str">
        <f>_xll.qlSwapIndex(,"NoFix",$A125,SettlementDays,Currency,Calendar,$F125,$G125,$H125,E$4,E$1,,EvaluationDate)</f>
        <v>obj_0072f#0000</v>
      </c>
      <c r="F125" s="41" t="s">
        <v>0</v>
      </c>
      <c r="G125" s="25" t="s">
        <v>77</v>
      </c>
      <c r="H125" s="25" t="s">
        <v>78</v>
      </c>
    </row>
    <row r="126" spans="1:8" x14ac:dyDescent="0.2">
      <c r="A126" s="21" t="s">
        <v>49</v>
      </c>
      <c r="B126" s="22" t="str">
        <f>_xll.qlSwapIndex(,"NoFix",$A126,SettlementDays,Currency,Calendar,$F126,$G126,$H126,B$4,B$1,,EvaluationDate)</f>
        <v>obj_00706#0000</v>
      </c>
      <c r="C126" s="22" t="str">
        <f>_xll.qlSwapIndex(,"NoFix",$A126,SettlementDays,Currency,Calendar,$F126,$G126,$H126,C$4,C$1,,EvaluationDate)</f>
        <v>obj_006fe#0000</v>
      </c>
      <c r="D126" s="22" t="str">
        <f>_xll.qlSwapIndex(,"NoFix",$A126,SettlementDays,Currency,Calendar,$F126,$G126,$H126,D$4,D$1,,EvaluationDate)</f>
        <v>obj_00752#0000</v>
      </c>
      <c r="E126" s="23" t="str">
        <f>_xll.qlSwapIndex(,"NoFix",$A126,SettlementDays,Currency,Calendar,$F126,$G126,$H126,E$4,E$1,,EvaluationDate)</f>
        <v>obj_00704#0000</v>
      </c>
      <c r="F126" s="41" t="s">
        <v>0</v>
      </c>
      <c r="G126" s="25" t="s">
        <v>77</v>
      </c>
      <c r="H126" s="25" t="s">
        <v>78</v>
      </c>
    </row>
    <row r="127" spans="1:8" x14ac:dyDescent="0.2">
      <c r="A127" s="21" t="s">
        <v>50</v>
      </c>
      <c r="B127" s="22" t="str">
        <f>_xll.qlSwapIndex(,"NoFix",$A127,SettlementDays,Currency,Calendar,$F127,$G127,$H127,B$4,B$1,,EvaluationDate)</f>
        <v>obj_006f9#0000</v>
      </c>
      <c r="C127" s="22" t="str">
        <f>_xll.qlSwapIndex(,"NoFix",$A127,SettlementDays,Currency,Calendar,$F127,$G127,$H127,C$4,C$1,,EvaluationDate)</f>
        <v>obj_00699#0000</v>
      </c>
      <c r="D127" s="22" t="str">
        <f>_xll.qlSwapIndex(,"NoFix",$A127,SettlementDays,Currency,Calendar,$F127,$G127,$H127,D$4,D$1,,EvaluationDate)</f>
        <v>obj_006b8#0000</v>
      </c>
      <c r="E127" s="23" t="str">
        <f>_xll.qlSwapIndex(,"NoFix",$A127,SettlementDays,Currency,Calendar,$F127,$G127,$H127,E$4,E$1,,EvaluationDate)</f>
        <v>obj_00736#0000</v>
      </c>
      <c r="F127" s="41" t="s">
        <v>0</v>
      </c>
      <c r="G127" s="25" t="s">
        <v>77</v>
      </c>
      <c r="H127" s="25" t="s">
        <v>78</v>
      </c>
    </row>
    <row r="128" spans="1:8" x14ac:dyDescent="0.2">
      <c r="A128" s="21" t="s">
        <v>51</v>
      </c>
      <c r="B128" s="22" t="str">
        <f>_xll.qlSwapIndex(,"NoFix",$A128,SettlementDays,Currency,Calendar,$F128,$G128,$H128,B$4,B$1,,EvaluationDate)</f>
        <v>obj_006c2#0000</v>
      </c>
      <c r="C128" s="22" t="str">
        <f>_xll.qlSwapIndex(,"NoFix",$A128,SettlementDays,Currency,Calendar,$F128,$G128,$H128,C$4,C$1,,EvaluationDate)</f>
        <v>obj_00715#0000</v>
      </c>
      <c r="D128" s="22" t="str">
        <f>_xll.qlSwapIndex(,"NoFix",$A128,SettlementDays,Currency,Calendar,$F128,$G128,$H128,D$4,D$1,,EvaluationDate)</f>
        <v>obj_00726#0000</v>
      </c>
      <c r="E128" s="23" t="str">
        <f>_xll.qlSwapIndex(,"NoFix",$A128,SettlementDays,Currency,Calendar,$F128,$G128,$H128,E$4,E$1,,EvaluationDate)</f>
        <v>obj_006a1#0000</v>
      </c>
      <c r="F128" s="41" t="s">
        <v>0</v>
      </c>
      <c r="G128" s="25" t="s">
        <v>77</v>
      </c>
      <c r="H128" s="25" t="s">
        <v>78</v>
      </c>
    </row>
    <row r="129" spans="1:8" x14ac:dyDescent="0.2">
      <c r="A129" s="21" t="s">
        <v>52</v>
      </c>
      <c r="B129" s="22" t="str">
        <f>_xll.qlSwapIndex(,"NoFix",$A129,SettlementDays,Currency,Calendar,$F129,$G129,$H129,B$4,B$1,,EvaluationDate)</f>
        <v>obj_006f1#0000</v>
      </c>
      <c r="C129" s="22" t="str">
        <f>_xll.qlSwapIndex(,"NoFix",$A129,SettlementDays,Currency,Calendar,$F129,$G129,$H129,C$4,C$1,,EvaluationDate)</f>
        <v>obj_006cb#0000</v>
      </c>
      <c r="D129" s="22" t="str">
        <f>_xll.qlSwapIndex(,"NoFix",$A129,SettlementDays,Currency,Calendar,$F129,$G129,$H129,D$4,D$1,,EvaluationDate)</f>
        <v>obj_006c3#0000</v>
      </c>
      <c r="E129" s="23" t="str">
        <f>_xll.qlSwapIndex(,"NoFix",$A129,SettlementDays,Currency,Calendar,$F129,$G129,$H129,E$4,E$1,,EvaluationDate)</f>
        <v>obj_0076c#0000</v>
      </c>
      <c r="F129" s="41" t="s">
        <v>0</v>
      </c>
      <c r="G129" s="25" t="s">
        <v>77</v>
      </c>
      <c r="H129" s="25" t="s">
        <v>78</v>
      </c>
    </row>
    <row r="130" spans="1:8" x14ac:dyDescent="0.2">
      <c r="A130" s="21" t="s">
        <v>53</v>
      </c>
      <c r="B130" s="22" t="str">
        <f>_xll.qlSwapIndex(,"NoFix",$A130,SettlementDays,Currency,Calendar,$F130,$G130,$H130,B$4,B$1,,EvaluationDate)</f>
        <v>obj_006a4#0000</v>
      </c>
      <c r="C130" s="22" t="str">
        <f>_xll.qlSwapIndex(,"NoFix",$A130,SettlementDays,Currency,Calendar,$F130,$G130,$H130,C$4,C$1,,EvaluationDate)</f>
        <v>obj_00686#0000</v>
      </c>
      <c r="D130" s="22" t="str">
        <f>_xll.qlSwapIndex(,"NoFix",$A130,SettlementDays,Currency,Calendar,$F130,$G130,$H130,D$4,D$1,,EvaluationDate)</f>
        <v>obj_0074c#0000</v>
      </c>
      <c r="E130" s="23" t="str">
        <f>_xll.qlSwapIndex(,"NoFix",$A130,SettlementDays,Currency,Calendar,$F130,$G130,$H130,E$4,E$1,,EvaluationDate)</f>
        <v>obj_0068c#0000</v>
      </c>
      <c r="F130" s="41" t="s">
        <v>0</v>
      </c>
      <c r="G130" s="25" t="s">
        <v>77</v>
      </c>
      <c r="H130" s="25" t="s">
        <v>78</v>
      </c>
    </row>
    <row r="131" spans="1:8" x14ac:dyDescent="0.2">
      <c r="A131" s="21" t="s">
        <v>54</v>
      </c>
      <c r="B131" s="22" t="str">
        <f>_xll.qlSwapIndex(,"NoFix",$A131,SettlementDays,Currency,Calendar,$F131,$G131,$H131,B$4,B$1,,EvaluationDate)</f>
        <v>obj_00702#0000</v>
      </c>
      <c r="C131" s="22" t="str">
        <f>_xll.qlSwapIndex(,"NoFix",$A131,SettlementDays,Currency,Calendar,$F131,$G131,$H131,C$4,C$1,,EvaluationDate)</f>
        <v>obj_00742#0000</v>
      </c>
      <c r="D131" s="22" t="str">
        <f>_xll.qlSwapIndex(,"NoFix",$A131,SettlementDays,Currency,Calendar,$F131,$G131,$H131,D$4,D$1,,EvaluationDate)</f>
        <v>obj_0074f#0000</v>
      </c>
      <c r="E131" s="23" t="str">
        <f>_xll.qlSwapIndex(,"NoFix",$A131,SettlementDays,Currency,Calendar,$F131,$G131,$H131,E$4,E$1,,EvaluationDate)</f>
        <v>obj_006b4#0000</v>
      </c>
      <c r="F131" s="41" t="s">
        <v>0</v>
      </c>
      <c r="G131" s="25" t="s">
        <v>77</v>
      </c>
      <c r="H131" s="25" t="s">
        <v>78</v>
      </c>
    </row>
    <row r="132" spans="1:8" x14ac:dyDescent="0.2">
      <c r="A132" s="21" t="s">
        <v>55</v>
      </c>
      <c r="B132" s="22" t="str">
        <f>_xll.qlSwapIndex(,"NoFix",$A132,SettlementDays,Currency,Calendar,$F132,$G132,$H132,B$4,B$1,,EvaluationDate)</f>
        <v>obj_0068d#0000</v>
      </c>
      <c r="C132" s="22" t="str">
        <f>_xll.qlSwapIndex(,"NoFix",$A132,SettlementDays,Currency,Calendar,$F132,$G132,$H132,C$4,C$1,,EvaluationDate)</f>
        <v>obj_00700#0000</v>
      </c>
      <c r="D132" s="22" t="str">
        <f>_xll.qlSwapIndex(,"NoFix",$A132,SettlementDays,Currency,Calendar,$F132,$G132,$H132,D$4,D$1,,EvaluationDate)</f>
        <v>obj_0075f#0000</v>
      </c>
      <c r="E132" s="23" t="str">
        <f>_xll.qlSwapIndex(,"NoFix",$A132,SettlementDays,Currency,Calendar,$F132,$G132,$H132,E$4,E$1,,EvaluationDate)</f>
        <v>obj_00694#0000</v>
      </c>
      <c r="F132" s="41" t="s">
        <v>0</v>
      </c>
      <c r="G132" s="25" t="s">
        <v>77</v>
      </c>
      <c r="H132" s="25" t="s">
        <v>78</v>
      </c>
    </row>
    <row r="133" spans="1:8" x14ac:dyDescent="0.2">
      <c r="A133" s="21" t="s">
        <v>56</v>
      </c>
      <c r="B133" s="22" t="str">
        <f>_xll.qlSwapIndex(,"NoFix",$A133,SettlementDays,Currency,Calendar,$F133,$G133,$H133,B$4,B$1,,EvaluationDate)</f>
        <v>obj_00757#0000</v>
      </c>
      <c r="C133" s="22" t="str">
        <f>_xll.qlSwapIndex(,"NoFix",$A133,SettlementDays,Currency,Calendar,$F133,$G133,$H133,C$4,C$1,,EvaluationDate)</f>
        <v>obj_00765#0000</v>
      </c>
      <c r="D133" s="22" t="str">
        <f>_xll.qlSwapIndex(,"NoFix",$A133,SettlementDays,Currency,Calendar,$F133,$G133,$H133,D$4,D$1,,EvaluationDate)</f>
        <v>obj_006e9#0000</v>
      </c>
      <c r="E133" s="23" t="str">
        <f>_xll.qlSwapIndex(,"NoFix",$A133,SettlementDays,Currency,Calendar,$F133,$G133,$H133,E$4,E$1,,EvaluationDate)</f>
        <v>obj_006b5#0000</v>
      </c>
      <c r="F133" s="41" t="s">
        <v>0</v>
      </c>
      <c r="G133" s="25" t="s">
        <v>77</v>
      </c>
      <c r="H133" s="25" t="s">
        <v>78</v>
      </c>
    </row>
    <row r="134" spans="1:8" x14ac:dyDescent="0.2">
      <c r="A134" s="21" t="s">
        <v>57</v>
      </c>
      <c r="B134" s="22" t="str">
        <f>_xll.qlSwapIndex(,"NoFix",$A134,SettlementDays,Currency,Calendar,$F134,$G134,$H134,B$4,B$1,,EvaluationDate)</f>
        <v>obj_00743#0000</v>
      </c>
      <c r="C134" s="22" t="str">
        <f>_xll.qlSwapIndex(,"NoFix",$A134,SettlementDays,Currency,Calendar,$F134,$G134,$H134,C$4,C$1,,EvaluationDate)</f>
        <v>obj_006da#0000</v>
      </c>
      <c r="D134" s="22" t="str">
        <f>_xll.qlSwapIndex(,"NoFix",$A134,SettlementDays,Currency,Calendar,$F134,$G134,$H134,D$4,D$1,,EvaluationDate)</f>
        <v>obj_0070b#0000</v>
      </c>
      <c r="E134" s="23" t="str">
        <f>_xll.qlSwapIndex(,"NoFix",$A134,SettlementDays,Currency,Calendar,$F134,$G134,$H134,E$4,E$1,,EvaluationDate)</f>
        <v>obj_00772#0000</v>
      </c>
      <c r="F134" s="41" t="s">
        <v>0</v>
      </c>
      <c r="G134" s="25" t="s">
        <v>77</v>
      </c>
      <c r="H134" s="25" t="s">
        <v>78</v>
      </c>
    </row>
    <row r="135" spans="1:8" x14ac:dyDescent="0.2">
      <c r="A135" s="21" t="s">
        <v>58</v>
      </c>
      <c r="B135" s="22" t="str">
        <f>_xll.qlSwapIndex(,"NoFix",$A135,SettlementDays,Currency,Calendar,$F135,$G135,$H135,B$4,B$1,,EvaluationDate)</f>
        <v>obj_006fa#0000</v>
      </c>
      <c r="C135" s="22" t="str">
        <f>_xll.qlSwapIndex(,"NoFix",$A135,SettlementDays,Currency,Calendar,$F135,$G135,$H135,C$4,C$1,,EvaluationDate)</f>
        <v>obj_00761#0000</v>
      </c>
      <c r="D135" s="22" t="str">
        <f>_xll.qlSwapIndex(,"NoFix",$A135,SettlementDays,Currency,Calendar,$F135,$G135,$H135,D$4,D$1,,EvaluationDate)</f>
        <v>obj_0071a#0000</v>
      </c>
      <c r="E135" s="23" t="str">
        <f>_xll.qlSwapIndex(,"NoFix",$A135,SettlementDays,Currency,Calendar,$F135,$G135,$H135,E$4,E$1,,EvaluationDate)</f>
        <v>obj_006e7#0000</v>
      </c>
      <c r="F135" s="41" t="s">
        <v>0</v>
      </c>
      <c r="G135" s="25" t="s">
        <v>77</v>
      </c>
      <c r="H135" s="25" t="s">
        <v>78</v>
      </c>
    </row>
    <row r="136" spans="1:8" x14ac:dyDescent="0.2">
      <c r="A136" s="21" t="s">
        <v>59</v>
      </c>
      <c r="B136" s="22" t="str">
        <f>_xll.qlSwapIndex(,"NoFix",$A136,SettlementDays,Currency,Calendar,$F136,$G136,$H136,B$4,B$1,,EvaluationDate)</f>
        <v>obj_0069e#0000</v>
      </c>
      <c r="C136" s="22" t="str">
        <f>_xll.qlSwapIndex(,"NoFix",$A136,SettlementDays,Currency,Calendar,$F136,$G136,$H136,C$4,C$1,,EvaluationDate)</f>
        <v>obj_00709#0000</v>
      </c>
      <c r="D136" s="22" t="str">
        <f>_xll.qlSwapIndex(,"NoFix",$A136,SettlementDays,Currency,Calendar,$F136,$G136,$H136,D$4,D$1,,EvaluationDate)</f>
        <v>obj_00713#0000</v>
      </c>
      <c r="E136" s="23" t="str">
        <f>_xll.qlSwapIndex(,"NoFix",$A136,SettlementDays,Currency,Calendar,$F136,$G136,$H136,E$4,E$1,,EvaluationDate)</f>
        <v>obj_006ea#0000</v>
      </c>
      <c r="F136" s="42" t="s">
        <v>0</v>
      </c>
      <c r="G136" s="16" t="s">
        <v>77</v>
      </c>
      <c r="H136" s="16" t="s">
        <v>78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36"/>
  <sheetViews>
    <sheetView workbookViewId="0">
      <selection activeCell="D86" sqref="D86"/>
    </sheetView>
  </sheetViews>
  <sheetFormatPr defaultRowHeight="11.25" outlineLevelRow="1" x14ac:dyDescent="0.2"/>
  <cols>
    <col min="1" max="1" width="10" style="3" bestFit="1" customWidth="1"/>
    <col min="2" max="5" width="12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7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customHeight="1" outlineLevel="1" x14ac:dyDescent="0.2"/>
    <row r="2" spans="1:15" ht="12.75" customHeight="1" outlineLevel="1" x14ac:dyDescent="0.2"/>
    <row r="3" spans="1:15" ht="12.75" customHeight="1" outlineLevel="1" x14ac:dyDescent="0.2"/>
    <row r="4" spans="1:15" ht="12.75" customHeight="1" x14ac:dyDescent="0.2">
      <c r="A4" s="53" t="s">
        <v>66</v>
      </c>
      <c r="B4" s="54" t="s">
        <v>130</v>
      </c>
      <c r="C4" s="54" t="s">
        <v>131</v>
      </c>
      <c r="D4" s="54" t="s">
        <v>129</v>
      </c>
      <c r="E4" s="54" t="s">
        <v>132</v>
      </c>
    </row>
    <row r="5" spans="1:15" ht="12.75" customHeight="1" x14ac:dyDescent="0.2">
      <c r="A5" s="55" t="str">
        <f>Indexes!A5</f>
        <v>ON</v>
      </c>
      <c r="B5" s="56">
        <f>_xll.qlInterpolationInterpolate(Indexes!B$6,Indexes!$F5,TRUE)</f>
        <v>8.2818006802527625E-4</v>
      </c>
      <c r="C5" s="57">
        <f>_xll.qlInterpolationInterpolate(Indexes!C$6,Indexes!$F5,TRUE)</f>
        <v>7.8058456748881946E-4</v>
      </c>
      <c r="D5" s="57">
        <f>_xll.qlInterpolationInterpolate(Indexes!D$6,Indexes!$F5,TRUE)</f>
        <v>2.1602227143090176E-3</v>
      </c>
      <c r="E5" s="58">
        <f>_xll.qlInterpolationInterpolate(Indexes!E$6,Indexes!$F5,TRUE)</f>
        <v>3.7944017864443647E-3</v>
      </c>
      <c r="F5" s="59"/>
      <c r="G5" s="135">
        <f t="shared" ref="G5:G11" si="0">B5-L5</f>
        <v>2.0570275056763733E-4</v>
      </c>
      <c r="H5" s="136">
        <f t="shared" ref="H5:H13" si="1">C5-M5</f>
        <v>-1.1343969099744155E-3</v>
      </c>
      <c r="I5" s="136">
        <f t="shared" ref="I5:I16" si="2">D5-N5</f>
        <v>-1.6739556828996335E-3</v>
      </c>
      <c r="J5" s="137">
        <f t="shared" ref="J5:J22" si="3">E5-O5</f>
        <v>-3.3103493967909202E-3</v>
      </c>
      <c r="K5" s="59"/>
      <c r="L5" s="171">
        <v>6.2247731745763892E-4</v>
      </c>
      <c r="M5" s="172">
        <v>1.9149814774632348E-3</v>
      </c>
      <c r="N5" s="172">
        <v>3.8341783972086511E-3</v>
      </c>
      <c r="O5" s="173">
        <v>7.1047511832352849E-3</v>
      </c>
    </row>
    <row r="6" spans="1:15" ht="12.75" customHeight="1" x14ac:dyDescent="0.2">
      <c r="A6" s="61" t="str">
        <f>Indexes!A6</f>
        <v>TN</v>
      </c>
      <c r="B6" s="62">
        <f>_xll.qlInterpolationInterpolate(Indexes!B$6,Indexes!$F6,TRUE)</f>
        <v>7.5861580729520023E-4</v>
      </c>
      <c r="C6" s="63">
        <f>_xll.qlInterpolationInterpolate(Indexes!C$6,Indexes!$F6,TRUE)</f>
        <v>7.8184897791253179E-4</v>
      </c>
      <c r="D6" s="63">
        <f>_xll.qlInterpolationInterpolate(Indexes!D$6,Indexes!$F6,TRUE)</f>
        <v>2.1599086473434916E-3</v>
      </c>
      <c r="E6" s="64">
        <f>_xll.qlInterpolationInterpolate(Indexes!E$6,Indexes!$F6,TRUE)</f>
        <v>3.7944126302384756E-3</v>
      </c>
      <c r="F6" s="59"/>
      <c r="G6" s="138">
        <f t="shared" si="0"/>
        <v>8.9170063356693225E-5</v>
      </c>
      <c r="H6" s="139">
        <f t="shared" si="1"/>
        <v>-1.1360340994970592E-3</v>
      </c>
      <c r="I6" s="139">
        <f t="shared" si="2"/>
        <v>-1.7272143326052176E-3</v>
      </c>
      <c r="J6" s="140">
        <f t="shared" si="3"/>
        <v>-3.3099999935432027E-3</v>
      </c>
      <c r="K6" s="59"/>
      <c r="L6" s="174">
        <v>6.69445743938507E-4</v>
      </c>
      <c r="M6" s="175">
        <v>1.9178830774095909E-3</v>
      </c>
      <c r="N6" s="175">
        <v>3.8871229799487092E-3</v>
      </c>
      <c r="O6" s="176">
        <v>7.1044126237816783E-3</v>
      </c>
    </row>
    <row r="7" spans="1:15" ht="12.75" customHeight="1" x14ac:dyDescent="0.2">
      <c r="A7" s="66" t="str">
        <f>Indexes!A7</f>
        <v>SN</v>
      </c>
      <c r="B7" s="67">
        <f>_xll.qlIndexFixing(Indexes!B7,EffectiveDate,TRUE,InterestRatesTrigger)</f>
        <v>6.7700000000670002E-4</v>
      </c>
      <c r="C7" s="68">
        <f>_xll.qlIndexFixing(Indexes!C7,EffectiveDate,TRUE,InterestRatesTrigger)</f>
        <v>7.8294674882073423E-4</v>
      </c>
      <c r="D7" s="68">
        <f>_xll.qlIndexFixing(Indexes!D7,EffectiveDate,TRUE,InterestRatesTrigger)</f>
        <v>2.1596312903859882E-3</v>
      </c>
      <c r="E7" s="69">
        <f>_xll.qlIndexFixing(Indexes!E7,EffectiveDate,TRUE,InterestRatesTrigger)</f>
        <v>3.7944233231712587E-3</v>
      </c>
      <c r="G7" s="141">
        <f t="shared" si="0"/>
        <v>-5.2999999962111133E-5</v>
      </c>
      <c r="H7" s="142">
        <f t="shared" si="1"/>
        <v>-1.1374207870495923E-3</v>
      </c>
      <c r="I7" s="142">
        <f t="shared" si="2"/>
        <v>-1.7873687092517798E-3</v>
      </c>
      <c r="J7" s="143">
        <f t="shared" si="3"/>
        <v>-3.309718830255548E-3</v>
      </c>
      <c r="L7" s="177">
        <v>7.2999999996881115E-4</v>
      </c>
      <c r="M7" s="178">
        <v>1.9203675358703265E-3</v>
      </c>
      <c r="N7" s="178">
        <v>3.946999999637768E-3</v>
      </c>
      <c r="O7" s="179">
        <v>7.1041421534268068E-3</v>
      </c>
    </row>
    <row r="8" spans="1:15" ht="12.75" customHeight="1" x14ac:dyDescent="0.2">
      <c r="A8" s="70" t="str">
        <f>Indexes!A8</f>
        <v>SW</v>
      </c>
      <c r="B8" s="71">
        <f>_xll.qlIndexFixing(Indexes!B8,FixingDate,TRUE,InterestRatesTrigger)</f>
        <v>2.5399999999287104E-4</v>
      </c>
      <c r="C8" s="72">
        <f>_xll.qlIndexFixing(Indexes!C8,FixingDate,TRUE,InterestRatesTrigger)</f>
        <v>7.9536575731279204E-4</v>
      </c>
      <c r="D8" s="72">
        <f>_xll.qlIndexFixing(Indexes!D8,FixingDate,TRUE,InterestRatesTrigger)</f>
        <v>2.1566822983601747E-3</v>
      </c>
      <c r="E8" s="73">
        <f>_xll.qlIndexFixing(Indexes!E8,FixingDate,TRUE,InterestRatesTrigger)</f>
        <v>3.794492760914433E-3</v>
      </c>
      <c r="G8" s="144">
        <f t="shared" si="0"/>
        <v>-7.8499999842155223E-4</v>
      </c>
      <c r="H8" s="145">
        <f t="shared" si="1"/>
        <v>-1.154508481318674E-3</v>
      </c>
      <c r="I8" s="145">
        <f t="shared" si="2"/>
        <v>-2.07831768597241E-3</v>
      </c>
      <c r="J8" s="146">
        <f t="shared" si="3"/>
        <v>-3.3056434519274092E-3</v>
      </c>
      <c r="L8" s="180">
        <v>1.0389999984144233E-3</v>
      </c>
      <c r="M8" s="181">
        <v>1.949874238631466E-3</v>
      </c>
      <c r="N8" s="181">
        <v>4.2349999843325848E-3</v>
      </c>
      <c r="O8" s="182">
        <v>7.1001362128418422E-3</v>
      </c>
    </row>
    <row r="9" spans="1:15" ht="12.75" customHeight="1" x14ac:dyDescent="0.2">
      <c r="A9" s="70" t="str">
        <f>Indexes!A9</f>
        <v>2W</v>
      </c>
      <c r="B9" s="71">
        <f>_xll.qlIndexFixing(Indexes!B9,FixingDate,TRUE,InterestRatesTrigger)</f>
        <v>2.0499999998107348E-4</v>
      </c>
      <c r="C9" s="72">
        <f>_xll.qlIndexFixing(Indexes!C9,FixingDate,TRUE,InterestRatesTrigger)</f>
        <v>8.4099999997747478E-4</v>
      </c>
      <c r="D9" s="72">
        <f>_xll.qlIndexFixing(Indexes!D9,FixingDate,TRUE,InterestRatesTrigger)</f>
        <v>2.1457942939249819E-3</v>
      </c>
      <c r="E9" s="73">
        <f>_xll.qlIndexFixing(Indexes!E9,FixingDate,TRUE,InterestRatesTrigger)</f>
        <v>3.7945939710404275E-3</v>
      </c>
      <c r="G9" s="144">
        <f t="shared" si="0"/>
        <v>-8.3699999742010381E-4</v>
      </c>
      <c r="H9" s="145">
        <f t="shared" si="1"/>
        <v>-1.2170000000064313E-3</v>
      </c>
      <c r="I9" s="145">
        <f t="shared" si="2"/>
        <v>-2.0642057060719565E-3</v>
      </c>
      <c r="J9" s="146">
        <f t="shared" si="3"/>
        <v>-3.2898692205822755E-3</v>
      </c>
      <c r="L9" s="180">
        <v>1.0419999974011773E-3</v>
      </c>
      <c r="M9" s="181">
        <v>2.057999999983906E-3</v>
      </c>
      <c r="N9" s="181">
        <v>4.2099999999969384E-3</v>
      </c>
      <c r="O9" s="182">
        <v>7.084463191622703E-3</v>
      </c>
    </row>
    <row r="10" spans="1:15" ht="12.75" customHeight="1" x14ac:dyDescent="0.2">
      <c r="A10" s="61" t="str">
        <f>Indexes!A10</f>
        <v>3W</v>
      </c>
      <c r="B10" s="62">
        <f>_xll.qlIndexFixing(Indexes!B10,FixingDate,TRUE,InterestRatesTrigger)</f>
        <v>1.9599999999009299E-4</v>
      </c>
      <c r="C10" s="63">
        <f>_xll.qlIndexFixing(Indexes!C10,FixingDate,TRUE,InterestRatesTrigger)</f>
        <v>8.7999999999739079E-4</v>
      </c>
      <c r="D10" s="63">
        <f>_xll.qlIndexFixing(Indexes!D10,FixingDate,TRUE,InterestRatesTrigger)</f>
        <v>2.1276162699151208E-3</v>
      </c>
      <c r="E10" s="64">
        <f>_xll.qlIndexFixing(Indexes!E10,FixingDate,TRUE,InterestRatesTrigger)</f>
        <v>3.7946693323423881E-3</v>
      </c>
      <c r="G10" s="138">
        <f t="shared" si="0"/>
        <v>-9.4499999758745901E-4</v>
      </c>
      <c r="H10" s="139">
        <f t="shared" si="1"/>
        <v>-1.2719999999928028E-3</v>
      </c>
      <c r="I10" s="139">
        <f t="shared" si="2"/>
        <v>-2.1613837300841049E-3</v>
      </c>
      <c r="J10" s="140">
        <f t="shared" si="3"/>
        <v>-3.2702872361170927E-3</v>
      </c>
      <c r="L10" s="174">
        <v>1.140999997577552E-3</v>
      </c>
      <c r="M10" s="175">
        <v>2.1519999999901934E-3</v>
      </c>
      <c r="N10" s="175">
        <v>4.2889999999992257E-3</v>
      </c>
      <c r="O10" s="176">
        <v>7.0649565684594807E-3</v>
      </c>
    </row>
    <row r="11" spans="1:15" ht="12.75" customHeight="1" x14ac:dyDescent="0.2">
      <c r="A11" s="70" t="str">
        <f>Indexes!A11</f>
        <v>1M</v>
      </c>
      <c r="B11" s="72">
        <f>_xll.qlIndexFixing(Indexes!B11,FixingDate,TRUE,InterestRatesTrigger)</f>
        <v>8.1999999997881253E-5</v>
      </c>
      <c r="C11" s="72">
        <f>_xll.qlIndexFixing(Indexes!C11,FixingDate,TRUE,InterestRatesTrigger)</f>
        <v>8.2499999997736261E-4</v>
      </c>
      <c r="D11" s="72">
        <f>_xll.qlIndexFixing(Indexes!D11,FixingDate,TRUE,InterestRatesTrigger)</f>
        <v>2.088999999999671E-3</v>
      </c>
      <c r="E11" s="73">
        <f>_xll.qlIndexFixing(Indexes!E11,FixingDate,TRUE,InterestRatesTrigger)</f>
        <v>3.7947321401913866E-3</v>
      </c>
      <c r="G11" s="147">
        <f t="shared" si="0"/>
        <v>-1.038999996455348E-3</v>
      </c>
      <c r="H11" s="145">
        <f t="shared" si="1"/>
        <v>-1.2940000000109522E-3</v>
      </c>
      <c r="I11" s="145">
        <f t="shared" si="2"/>
        <v>-2.1369999999990199E-3</v>
      </c>
      <c r="J11" s="146">
        <f t="shared" si="3"/>
        <v>-3.2112678598083186E-3</v>
      </c>
      <c r="L11" s="183">
        <v>1.1209999964532293E-3</v>
      </c>
      <c r="M11" s="181">
        <v>2.1189999999883147E-3</v>
      </c>
      <c r="N11" s="181">
        <v>4.2259999999986909E-3</v>
      </c>
      <c r="O11" s="182">
        <v>7.0059999999997052E-3</v>
      </c>
    </row>
    <row r="12" spans="1:15" ht="12.75" customHeight="1" x14ac:dyDescent="0.2">
      <c r="A12" s="70" t="str">
        <f>Indexes!A12</f>
        <v>2M</v>
      </c>
      <c r="B12" s="71">
        <f>_xll.qlIndexFixing(Indexes!B12,FixingDate,TRUE,InterestRatesTrigger)</f>
        <v>3.0002572198454202E-5</v>
      </c>
      <c r="C12" s="72">
        <f>_xll.qlIndexFixing(Indexes!C12,FixingDate,TRUE,InterestRatesTrigger)</f>
        <v>8.6199999986853704E-4</v>
      </c>
      <c r="D12" s="72">
        <f>_xll.qlIndexFixing(Indexes!D12,FixingDate,TRUE,InterestRatesTrigger)</f>
        <v>1.9670000000004961E-3</v>
      </c>
      <c r="E12" s="73">
        <f>_xll.qlIndexFixing(Indexes!E12,FixingDate,TRUE,InterestRatesTrigger)</f>
        <v>3.7946038105833783E-3</v>
      </c>
      <c r="G12" s="144"/>
      <c r="H12" s="145">
        <f t="shared" si="1"/>
        <v>-1.0587610921765356E-3</v>
      </c>
      <c r="I12" s="145">
        <f t="shared" si="2"/>
        <v>-2.0349999999990853E-3</v>
      </c>
      <c r="J12" s="146">
        <f t="shared" si="3"/>
        <v>-3.0034994527747476E-3</v>
      </c>
      <c r="L12" s="180">
        <v>1.0100233470208741E-3</v>
      </c>
      <c r="M12" s="181">
        <v>1.9207610920450725E-3</v>
      </c>
      <c r="N12" s="181">
        <v>4.0019999999995814E-3</v>
      </c>
      <c r="O12" s="182">
        <v>6.7981032633581259E-3</v>
      </c>
    </row>
    <row r="13" spans="1:15" ht="12.75" customHeight="1" x14ac:dyDescent="0.2">
      <c r="A13" s="70" t="str">
        <f>Indexes!A13</f>
        <v>3M</v>
      </c>
      <c r="B13" s="71">
        <f>_xll.qlIndexFixing(Indexes!B13,FixingDate,TRUE,InterestRatesTrigger)</f>
        <v>3.0002914666111753E-5</v>
      </c>
      <c r="C13" s="72">
        <f>_xll.qlIndexFixing(Indexes!C13,FixingDate,TRUE,InterestRatesTrigger)</f>
        <v>8.7158398893073525E-4</v>
      </c>
      <c r="D13" s="72">
        <f>_xll.qlIndexFixing(Indexes!D13,FixingDate,TRUE,InterestRatesTrigger)</f>
        <v>1.9449999978314761E-3</v>
      </c>
      <c r="E13" s="73">
        <f>_xll.qlIndexFixing(Indexes!E13,FixingDate,TRUE,InterestRatesTrigger)</f>
        <v>3.7940000010006814E-3</v>
      </c>
      <c r="G13" s="144"/>
      <c r="H13" s="145">
        <f t="shared" si="1"/>
        <v>-9.3223015924458479E-4</v>
      </c>
      <c r="I13" s="145">
        <f t="shared" si="2"/>
        <v>-1.8480000021684592E-3</v>
      </c>
      <c r="J13" s="146">
        <f t="shared" si="3"/>
        <v>-2.8009999989956724E-3</v>
      </c>
      <c r="L13" s="180">
        <v>8.9004592682506711E-4</v>
      </c>
      <c r="M13" s="181">
        <v>1.80381414817532E-3</v>
      </c>
      <c r="N13" s="181">
        <v>3.7929999999999353E-3</v>
      </c>
      <c r="O13" s="182">
        <v>6.5949999999963538E-3</v>
      </c>
    </row>
    <row r="14" spans="1:15" ht="12.75" hidden="1" customHeight="1" outlineLevel="1" x14ac:dyDescent="0.2">
      <c r="A14" s="70" t="str">
        <f>Indexes!A14</f>
        <v>4M</v>
      </c>
      <c r="B14" s="71">
        <f>_xll.qlIndexFixing(Indexes!B14,FixingDate,TRUE,InterestRatesTrigger)</f>
        <v>4.0003579733362156E-5</v>
      </c>
      <c r="C14" s="71"/>
      <c r="D14" s="72">
        <f>_xll.qlIndexFixing(Indexes!D14,FixingDate,TRUE,InterestRatesTrigger)</f>
        <v>1.9309999997291852E-3</v>
      </c>
      <c r="E14" s="73">
        <f>_xll.qlIndexFixing(Indexes!E14,FixingDate,TRUE,InterestRatesTrigger)</f>
        <v>3.7910382598650952E-3</v>
      </c>
      <c r="G14" s="144"/>
      <c r="H14" s="148"/>
      <c r="I14" s="145">
        <f t="shared" si="2"/>
        <v>-1.6460000001512849E-3</v>
      </c>
      <c r="J14" s="146">
        <f t="shared" si="3"/>
        <v>-2.6043111712914708E-3</v>
      </c>
      <c r="L14" s="180">
        <v>7.9007416782790173E-4</v>
      </c>
      <c r="M14" s="184"/>
      <c r="N14" s="181">
        <v>3.5769999998804701E-3</v>
      </c>
      <c r="O14" s="182">
        <v>6.395349431156566E-3</v>
      </c>
    </row>
    <row r="15" spans="1:15" ht="12.75" hidden="1" customHeight="1" outlineLevel="1" x14ac:dyDescent="0.2">
      <c r="A15" s="70" t="str">
        <f>Indexes!A15</f>
        <v>5M</v>
      </c>
      <c r="B15" s="71">
        <f>_xll.qlIndexFixing(Indexes!B15,FixingDate,TRUE,InterestRatesTrigger)</f>
        <v>4.0004913040798544E-5</v>
      </c>
      <c r="C15" s="71"/>
      <c r="D15" s="72">
        <f>_xll.qlIndexFixing(Indexes!D15,FixingDate,TRUE,InterestRatesTrigger)</f>
        <v>1.907999999849148E-3</v>
      </c>
      <c r="E15" s="73">
        <f>_xll.qlIndexFixing(Indexes!E15,FixingDate,TRUE,InterestRatesTrigger)</f>
        <v>3.7795161257596112E-3</v>
      </c>
      <c r="G15" s="144"/>
      <c r="H15" s="148"/>
      <c r="I15" s="145">
        <f t="shared" si="2"/>
        <v>-1.487000000152268E-3</v>
      </c>
      <c r="J15" s="146">
        <f t="shared" si="3"/>
        <v>-2.4448055476668177E-3</v>
      </c>
      <c r="L15" s="180">
        <v>7.0009633632876691E-4</v>
      </c>
      <c r="M15" s="184"/>
      <c r="N15" s="181">
        <v>3.395000000001416E-3</v>
      </c>
      <c r="O15" s="182">
        <v>6.2243216734264289E-3</v>
      </c>
    </row>
    <row r="16" spans="1:15" ht="12.75" customHeight="1" collapsed="1" x14ac:dyDescent="0.2">
      <c r="A16" s="70" t="str">
        <f>Indexes!A16</f>
        <v>6M</v>
      </c>
      <c r="B16" s="71">
        <f>_xll.qlIndexFixing(Indexes!B16,FixingDate,TRUE,InterestRatesTrigger)</f>
        <v>5.000602062598304E-5</v>
      </c>
      <c r="C16" s="71"/>
      <c r="D16" s="72">
        <f>_xll.qlIndexFixing(Indexes!D16,FixingDate,TRUE,InterestRatesTrigger)</f>
        <v>1.9049999999600027E-3</v>
      </c>
      <c r="E16" s="73">
        <f>_xll.qlIndexFixing(Indexes!E16,FixingDate,TRUE,InterestRatesTrigger)</f>
        <v>3.7590000000000115E-3</v>
      </c>
      <c r="G16" s="144"/>
      <c r="H16" s="148"/>
      <c r="I16" s="145">
        <f t="shared" si="2"/>
        <v>-1.314307818523247E-3</v>
      </c>
      <c r="J16" s="146">
        <f t="shared" si="3"/>
        <v>-2.3270000000006905E-3</v>
      </c>
      <c r="L16" s="180">
        <v>6.4011654011661033E-4</v>
      </c>
      <c r="M16" s="184"/>
      <c r="N16" s="181">
        <v>3.2193078184832497E-3</v>
      </c>
      <c r="O16" s="182">
        <v>6.086000000000702E-3</v>
      </c>
    </row>
    <row r="17" spans="1:15" ht="12.75" hidden="1" customHeight="1" outlineLevel="1" x14ac:dyDescent="0.2">
      <c r="A17" s="70" t="str">
        <f>Indexes!A17</f>
        <v>7M</v>
      </c>
      <c r="B17" s="71">
        <f>_xll.qlIndexFixing(Indexes!B17,FixingDate,TRUE,InterestRatesTrigger)</f>
        <v>3.000805020507483E-5</v>
      </c>
      <c r="C17" s="71"/>
      <c r="D17" s="71"/>
      <c r="E17" s="73">
        <f>_xll.qlIndexFixing(Indexes!E17,FixingDate,TRUE,InterestRatesTrigger)</f>
        <v>3.725020394800928E-3</v>
      </c>
      <c r="G17" s="144"/>
      <c r="H17" s="148"/>
      <c r="I17" s="148"/>
      <c r="J17" s="146">
        <f t="shared" si="3"/>
        <v>-2.2476678372481589E-3</v>
      </c>
      <c r="L17" s="180">
        <v>5.9013390246460723E-4</v>
      </c>
      <c r="M17" s="184"/>
      <c r="N17" s="184"/>
      <c r="O17" s="182">
        <v>5.9726882320490868E-3</v>
      </c>
    </row>
    <row r="18" spans="1:15" ht="12.75" hidden="1" customHeight="1" outlineLevel="1" x14ac:dyDescent="0.2">
      <c r="A18" s="70" t="str">
        <f>Indexes!A18</f>
        <v>8M</v>
      </c>
      <c r="B18" s="71">
        <f>_xll.qlIndexFixing(Indexes!B18,FixingDate,TRUE,InterestRatesTrigger)</f>
        <v>1.0008440059196437E-5</v>
      </c>
      <c r="C18" s="71"/>
      <c r="D18" s="71"/>
      <c r="E18" s="73">
        <f>_xll.qlIndexFixing(Indexes!E18,FixingDate,TRUE,InterestRatesTrigger)</f>
        <v>3.6924073275232689E-3</v>
      </c>
      <c r="G18" s="144"/>
      <c r="H18" s="148"/>
      <c r="I18" s="148"/>
      <c r="J18" s="146">
        <f t="shared" si="3"/>
        <v>-2.1821268713618095E-3</v>
      </c>
      <c r="L18" s="180">
        <v>5.5015070652929829E-4</v>
      </c>
      <c r="M18" s="184"/>
      <c r="N18" s="184"/>
      <c r="O18" s="182">
        <v>5.8745341988850784E-3</v>
      </c>
    </row>
    <row r="19" spans="1:15" ht="12.75" hidden="1" customHeight="1" outlineLevel="1" x14ac:dyDescent="0.2">
      <c r="A19" s="70" t="str">
        <f>Indexes!A19</f>
        <v>9M</v>
      </c>
      <c r="B19" s="71">
        <f>_xll.qlIndexFixing(Indexes!B19,FixingDate,TRUE,InterestRatesTrigger)</f>
        <v>-1.9992043952178707E-5</v>
      </c>
      <c r="C19" s="71"/>
      <c r="D19" s="71"/>
      <c r="E19" s="73">
        <f>_xll.qlIndexFixing(Indexes!E19,FixingDate,TRUE,InterestRatesTrigger)</f>
        <v>3.6619999991292953E-3</v>
      </c>
      <c r="G19" s="144"/>
      <c r="H19" s="148"/>
      <c r="I19" s="148"/>
      <c r="J19" s="146">
        <f t="shared" si="3"/>
        <v>-2.1280000008958295E-3</v>
      </c>
      <c r="L19" s="180">
        <v>5.2016680667955721E-4</v>
      </c>
      <c r="M19" s="184"/>
      <c r="N19" s="184"/>
      <c r="O19" s="182">
        <v>5.7900000000251249E-3</v>
      </c>
    </row>
    <row r="20" spans="1:15" ht="12.75" hidden="1" customHeight="1" outlineLevel="1" x14ac:dyDescent="0.2">
      <c r="A20" s="70" t="str">
        <f>Indexes!A20</f>
        <v>10M</v>
      </c>
      <c r="B20" s="71">
        <f>_xll.qlIndexFixing(Indexes!B20,FixingDate,TRUE,InterestRatesTrigger)</f>
        <v>-2.999393862476864E-5</v>
      </c>
      <c r="C20" s="71"/>
      <c r="D20" s="71"/>
      <c r="E20" s="73">
        <f>_xll.qlIndexFixing(Indexes!E20,FixingDate,TRUE,InterestRatesTrigger)</f>
        <v>3.6385095300910035E-3</v>
      </c>
      <c r="G20" s="144"/>
      <c r="H20" s="148"/>
      <c r="I20" s="148"/>
      <c r="J20" s="146">
        <f t="shared" si="3"/>
        <v>-2.0739674410826044E-3</v>
      </c>
      <c r="L20" s="180">
        <v>4.9017973431323347E-4</v>
      </c>
      <c r="M20" s="184"/>
      <c r="N20" s="184"/>
      <c r="O20" s="182">
        <v>5.7124769711736079E-3</v>
      </c>
    </row>
    <row r="21" spans="1:15" ht="12.75" hidden="1" customHeight="1" outlineLevel="1" x14ac:dyDescent="0.2">
      <c r="A21" s="70" t="str">
        <f>Indexes!A21</f>
        <v>11M</v>
      </c>
      <c r="B21" s="71">
        <f>_xll.qlIndexFixing(Indexes!B21,FixingDate,TRUE,InterestRatesTrigger)</f>
        <v>-2.9996330353502236E-5</v>
      </c>
      <c r="C21" s="71"/>
      <c r="D21" s="71"/>
      <c r="E21" s="73">
        <f>_xll.qlIndexFixing(Indexes!E21,FixingDate,TRUE,InterestRatesTrigger)</f>
        <v>3.6184529998533068E-3</v>
      </c>
      <c r="G21" s="144"/>
      <c r="H21" s="148"/>
      <c r="I21" s="148"/>
      <c r="J21" s="146">
        <f t="shared" si="3"/>
        <v>-2.0269495223756407E-3</v>
      </c>
      <c r="L21" s="180">
        <v>4.7019074385048256E-4</v>
      </c>
      <c r="M21" s="184"/>
      <c r="N21" s="184"/>
      <c r="O21" s="182">
        <v>5.6454025222289475E-3</v>
      </c>
    </row>
    <row r="22" spans="1:15" ht="12.75" customHeight="1" collapsed="1" x14ac:dyDescent="0.2">
      <c r="A22" s="61" t="str">
        <f>Indexes!A22</f>
        <v>1Y</v>
      </c>
      <c r="B22" s="62">
        <f>_xll.qlIndexFixing(Indexes!B22,FixingDate,TRUE,InterestRatesTrigger)</f>
        <v>-3.9998438703840202E-5</v>
      </c>
      <c r="C22" s="62"/>
      <c r="D22" s="62"/>
      <c r="E22" s="75">
        <f>_xll.qlIndexFixing(Indexes!E22,FixingDate,TRUE,InterestRatesTrigger)</f>
        <v>3.5949999997004914E-3</v>
      </c>
      <c r="G22" s="138"/>
      <c r="H22" s="149"/>
      <c r="I22" s="149"/>
      <c r="J22" s="150">
        <f t="shared" si="3"/>
        <v>-1.9800000004314353E-3</v>
      </c>
      <c r="L22" s="174">
        <v>4.501989386687628E-4</v>
      </c>
      <c r="M22" s="185"/>
      <c r="N22" s="185"/>
      <c r="O22" s="186">
        <v>5.5750000001319267E-3</v>
      </c>
    </row>
    <row r="23" spans="1:15" ht="12.75" customHeight="1" x14ac:dyDescent="0.2">
      <c r="A23" s="70" t="str">
        <f>"#"&amp;YEAR(Indexes!A23)&amp;MONTH(Indexes!A23)&amp;DAY(Indexes!A23)</f>
        <v>#20141230</v>
      </c>
      <c r="B23" s="71">
        <f>(_xll.qlYieldTSDiscount(B$4,SettlementDate,,InterestRatesTrigger)/_xll.qlYieldTSDiscount(B$4,Indexes!$A23,,InterestRatesTrigger)-1)/Indexes!$I23</f>
        <v>3.6953732170421761E-5</v>
      </c>
      <c r="C23" s="71">
        <f>(_xll.qlYieldTSDiscount(C$4,SettlementDate,,InterestRatesTrigger)/_xll.qlYieldTSDiscount(C$4,Indexes!$A23,,InterestRatesTrigger)-1)/Indexes!$I23</f>
        <v>8.6793199609523511E-4</v>
      </c>
      <c r="D23" s="71">
        <f>(_xll.qlYieldTSDiscount(D$4,SettlementDate,,InterestRatesTrigger)/_xll.qlYieldTSDiscount(D$4,Indexes!$A23,,InterestRatesTrigger)-1)/Indexes!$I23</f>
        <v>1.9394701966519673E-3</v>
      </c>
      <c r="E23" s="76"/>
      <c r="G23" s="144">
        <f t="shared" ref="G23:G30" si="4">B23-L23</f>
        <v>-1.0201995980646172E-3</v>
      </c>
      <c r="H23" s="148">
        <f t="shared" ref="H23:H52" si="5">C23-M23</f>
        <v>-1.2088764045775787E-3</v>
      </c>
      <c r="I23" s="148">
        <f t="shared" ref="I23:I34" si="6">D23-N23</f>
        <v>-2.2823224629724454E-3</v>
      </c>
      <c r="J23" s="151"/>
      <c r="L23" s="180">
        <v>1.0571533302350389E-3</v>
      </c>
      <c r="M23" s="184">
        <v>2.0768084006728138E-3</v>
      </c>
      <c r="N23" s="184">
        <v>4.2217926596244126E-3</v>
      </c>
      <c r="O23" s="187"/>
    </row>
    <row r="24" spans="1:15" ht="12.75" customHeight="1" x14ac:dyDescent="0.2">
      <c r="A24" s="70" t="str">
        <f>"#"&amp;YEAR(Indexes!A24)&amp;MONTH(Indexes!A24)&amp;DAY(Indexes!A24)</f>
        <v>#20141231</v>
      </c>
      <c r="B24" s="71">
        <f>(_xll.qlYieldTSDiscount(B$4,SettlementDate,,InterestRatesTrigger)/_xll.qlYieldTSDiscount(B$4,Indexes!$A24,,InterestRatesTrigger)-1)/Indexes!$I24</f>
        <v>3.7324424363579823E-5</v>
      </c>
      <c r="C24" s="71">
        <f>(_xll.qlYieldTSDiscount(C$4,SettlementDate,,InterestRatesTrigger)/_xll.qlYieldTSDiscount(C$4,Indexes!$A24,,InterestRatesTrigger)-1)/Indexes!$I24</f>
        <v>8.6775185958896299E-4</v>
      </c>
      <c r="D24" s="71">
        <f>(_xll.qlYieldTSDiscount(D$4,SettlementDate,,InterestRatesTrigger)/_xll.qlYieldTSDiscount(D$4,Indexes!$A24,,InterestRatesTrigger)-1)/Indexes!$I24</f>
        <v>1.9389847679165001E-3</v>
      </c>
      <c r="E24" s="76"/>
      <c r="G24" s="144">
        <f t="shared" si="4"/>
        <v>-1.0752186599600861E-3</v>
      </c>
      <c r="H24" s="148">
        <f t="shared" si="5"/>
        <v>-1.2611232561485276E-3</v>
      </c>
      <c r="I24" s="148">
        <f t="shared" si="6"/>
        <v>-2.3282116642601271E-3</v>
      </c>
      <c r="J24" s="151"/>
      <c r="L24" s="180">
        <v>1.112543084323666E-3</v>
      </c>
      <c r="M24" s="184">
        <v>2.1288751157374905E-3</v>
      </c>
      <c r="N24" s="184">
        <v>4.267196432176627E-3</v>
      </c>
      <c r="O24" s="187"/>
    </row>
    <row r="25" spans="1:15" ht="12.75" customHeight="1" x14ac:dyDescent="0.2">
      <c r="A25" s="70" t="str">
        <f>"#"&amp;YEAR(Indexes!A25)&amp;"0"&amp;MONTH(Indexes!A25)&amp;"0"&amp;DAY(Indexes!A25)</f>
        <v>#20150102</v>
      </c>
      <c r="B25" s="71">
        <f>(_xll.qlYieldTSDiscount(B$4,SettlementDate,,InterestRatesTrigger)/_xll.qlYieldTSDiscount(B$4,Indexes!$A25,,InterestRatesTrigger)-1)/Indexes!$I25</f>
        <v>3.8014318816353179E-5</v>
      </c>
      <c r="C25" s="71">
        <f>(_xll.qlYieldTSDiscount(C$4,SettlementDate,,InterestRatesTrigger)/_xll.qlYieldTSDiscount(C$4,Indexes!$A25,,InterestRatesTrigger)-1)/Indexes!$I25</f>
        <v>8.6739456034767848E-4</v>
      </c>
      <c r="D25" s="71">
        <f>(_xll.qlYieldTSDiscount(D$4,SettlementDate,,InterestRatesTrigger)/_xll.qlYieldTSDiscount(D$4,Indexes!$A25,,InterestRatesTrigger)-1)/Indexes!$I25</f>
        <v>1.9379378693377769E-3</v>
      </c>
      <c r="E25" s="76"/>
      <c r="G25" s="144">
        <f t="shared" si="4"/>
        <v>-1.1029856787611988E-3</v>
      </c>
      <c r="H25" s="148">
        <f t="shared" si="5"/>
        <v>-1.284605439642515E-3</v>
      </c>
      <c r="I25" s="148">
        <f t="shared" si="6"/>
        <v>-2.3510621306614488E-3</v>
      </c>
      <c r="J25" s="151"/>
      <c r="L25" s="180">
        <v>1.140999997577552E-3</v>
      </c>
      <c r="M25" s="184">
        <v>2.1519999999901934E-3</v>
      </c>
      <c r="N25" s="184">
        <v>4.2889999999992257E-3</v>
      </c>
      <c r="O25" s="187"/>
    </row>
    <row r="26" spans="1:15" ht="12.75" customHeight="1" x14ac:dyDescent="0.2">
      <c r="A26" s="61" t="str">
        <f>"#"&amp;YEAR(Indexes!A26)&amp;"0"&amp;MONTH(Indexes!A26)&amp;"0"&amp;DAY(Indexes!A26)</f>
        <v>#20150105</v>
      </c>
      <c r="B26" s="62">
        <f>(_xll.qlYieldTSDiscount(B$4,SettlementDate,,InterestRatesTrigger)/_xll.qlYieldTSDiscount(B$4,Indexes!$A26,,InterestRatesTrigger)-1)/Indexes!$I26</f>
        <v>3.8894092716599566E-5</v>
      </c>
      <c r="C26" s="62">
        <f>(_xll.qlYieldTSDiscount(C$4,SettlementDate,,InterestRatesTrigger)/_xll.qlYieldTSDiscount(C$4,Indexes!$A26,,InterestRatesTrigger)-1)/Indexes!$I26</f>
        <v>8.6686322302545113E-4</v>
      </c>
      <c r="D26" s="62">
        <f>(_xll.qlYieldTSDiscount(D$4,SettlementDate,,InterestRatesTrigger)/_xll.qlYieldTSDiscount(D$4,Indexes!$A26,,InterestRatesTrigger)-1)/Indexes!$I26</f>
        <v>1.936166246357652E-3</v>
      </c>
      <c r="E26" s="75"/>
      <c r="F26" s="29"/>
      <c r="G26" s="138">
        <f t="shared" si="4"/>
        <v>-1.110640825672263E-3</v>
      </c>
      <c r="H26" s="149">
        <f t="shared" si="5"/>
        <v>-1.2917655154015108E-3</v>
      </c>
      <c r="I26" s="149">
        <f t="shared" si="6"/>
        <v>-2.3580261183814757E-3</v>
      </c>
      <c r="J26" s="150"/>
      <c r="L26" s="174">
        <v>1.1495349183888626E-3</v>
      </c>
      <c r="M26" s="185">
        <v>2.158628738426962E-3</v>
      </c>
      <c r="N26" s="185">
        <v>4.2941923647391274E-3</v>
      </c>
      <c r="O26" s="186"/>
    </row>
    <row r="27" spans="1:15" ht="12.75" hidden="1" customHeight="1" outlineLevel="1" x14ac:dyDescent="0.2">
      <c r="A27" s="70" t="str">
        <f>"#"&amp;YEAR(Indexes!A27)&amp;MONTH(Indexes!A27)&amp;DAY(Indexes!A27)</f>
        <v>#20151230</v>
      </c>
      <c r="B27" s="71">
        <f>(_xll.qlYieldTSDiscount(B$4,SettlementDate,,InterestRatesTrigger)/_xll.qlYieldTSDiscount(B$4,Indexes!$A27,,InterestRatesTrigger)-1)/Indexes!$I27</f>
        <v>-5.3906148554643462E-5</v>
      </c>
      <c r="C27" s="71">
        <f>(_xll.qlYieldTSDiscount(C$4,SettlementDate,,InterestRatesTrigger)/_xll.qlYieldTSDiscount(C$4,Indexes!$A27,,InterestRatesTrigger)-1)/Indexes!$I27</f>
        <v>7.9839953564656181E-4</v>
      </c>
      <c r="D27" s="71">
        <f>(_xll.qlYieldTSDiscount(D$4,SettlementDate,,InterestRatesTrigger)/_xll.qlYieldTSDiscount(D$4,Indexes!$A27,,InterestRatesTrigger)-1)/Indexes!$I27</f>
        <v>1.8430291253665851E-3</v>
      </c>
      <c r="E27" s="76"/>
      <c r="F27" s="59"/>
      <c r="G27" s="144">
        <f t="shared" si="4"/>
        <v>-4.9468689090645932E-4</v>
      </c>
      <c r="H27" s="148">
        <f t="shared" si="5"/>
        <v>-4.3297977944581735E-4</v>
      </c>
      <c r="I27" s="148">
        <f t="shared" si="6"/>
        <v>-9.3503013670110432E-4</v>
      </c>
      <c r="J27" s="151"/>
      <c r="L27" s="180">
        <v>4.4078074235181586E-4</v>
      </c>
      <c r="M27" s="184">
        <v>1.2313793150923792E-3</v>
      </c>
      <c r="N27" s="184">
        <v>2.7780592620676894E-3</v>
      </c>
      <c r="O27" s="187"/>
    </row>
    <row r="28" spans="1:15" ht="12.75" hidden="1" customHeight="1" outlineLevel="1" x14ac:dyDescent="0.2">
      <c r="A28" s="70" t="str">
        <f>"#"&amp;YEAR(Indexes!A28)&amp;MONTH(Indexes!A28)&amp;DAY(Indexes!A28)</f>
        <v>#20151231</v>
      </c>
      <c r="B28" s="71">
        <f>(_xll.qlYieldTSDiscount(B$4,SettlementDate,,InterestRatesTrigger)/_xll.qlYieldTSDiscount(B$4,Indexes!$A28,,InterestRatesTrigger)-1)/Indexes!$I28</f>
        <v>-5.3841507933767063E-5</v>
      </c>
      <c r="C28" s="71">
        <f>(_xll.qlYieldTSDiscount(C$4,SettlementDate,,InterestRatesTrigger)/_xll.qlYieldTSDiscount(C$4,Indexes!$A28,,InterestRatesTrigger)-1)/Indexes!$I28</f>
        <v>7.9865467185236128E-4</v>
      </c>
      <c r="D28" s="71">
        <f>(_xll.qlYieldTSDiscount(D$4,SettlementDate,,InterestRatesTrigger)/_xll.qlYieldTSDiscount(D$4,Indexes!$A28,,InterestRatesTrigger)-1)/Indexes!$I28</f>
        <v>1.8438667001293696E-3</v>
      </c>
      <c r="E28" s="76"/>
      <c r="F28" s="59"/>
      <c r="G28" s="144">
        <f t="shared" si="4"/>
        <v>-4.941756526705319E-4</v>
      </c>
      <c r="H28" s="148">
        <f t="shared" si="5"/>
        <v>-4.3243587502916903E-4</v>
      </c>
      <c r="I28" s="148">
        <f t="shared" si="6"/>
        <v>-9.335201252873859E-4</v>
      </c>
      <c r="J28" s="151"/>
      <c r="L28" s="180">
        <v>4.403341447367648E-4</v>
      </c>
      <c r="M28" s="184">
        <v>1.2310905468815303E-3</v>
      </c>
      <c r="N28" s="184">
        <v>2.7773868254167555E-3</v>
      </c>
      <c r="O28" s="187"/>
    </row>
    <row r="29" spans="1:15" ht="12.75" hidden="1" customHeight="1" outlineLevel="1" x14ac:dyDescent="0.2">
      <c r="A29" s="70" t="str">
        <f>"#"&amp;YEAR(Indexes!A29)&amp;"0"&amp;MONTH(Indexes!A29)&amp;"0"&amp;DAY(Indexes!A29)</f>
        <v>#20160104</v>
      </c>
      <c r="B29" s="71">
        <f>(_xll.qlYieldTSDiscount(B$4,SettlementDate,,InterestRatesTrigger)/_xll.qlYieldTSDiscount(B$4,Indexes!$A29,,InterestRatesTrigger)-1)/Indexes!$I29</f>
        <v>-5.3550074579226794E-5</v>
      </c>
      <c r="C29" s="71">
        <f>(_xll.qlYieldTSDiscount(C$4,SettlementDate,,InterestRatesTrigger)/_xll.qlYieldTSDiscount(C$4,Indexes!$A29,,InterestRatesTrigger)-1)/Indexes!$I29</f>
        <v>7.9970070033343033E-4</v>
      </c>
      <c r="D29" s="71">
        <f>(_xll.qlYieldTSDiscount(D$4,SettlementDate,,InterestRatesTrigger)/_xll.qlYieldTSDiscount(D$4,Indexes!$A29,,InterestRatesTrigger)-1)/Indexes!$I29</f>
        <v>1.8471185253305879E-3</v>
      </c>
      <c r="E29" s="76"/>
      <c r="F29" s="59"/>
      <c r="G29" s="144">
        <f t="shared" si="4"/>
        <v>-5.0267510303732006E-4</v>
      </c>
      <c r="H29" s="148">
        <f t="shared" si="5"/>
        <v>-4.405062374784564E-4</v>
      </c>
      <c r="I29" s="148">
        <f t="shared" si="6"/>
        <v>-9.3877259747779623E-4</v>
      </c>
      <c r="J29" s="151"/>
      <c r="L29" s="180">
        <v>4.4912502845809323E-4</v>
      </c>
      <c r="M29" s="184">
        <v>1.2402069378118867E-3</v>
      </c>
      <c r="N29" s="184">
        <v>2.7858911228083841E-3</v>
      </c>
      <c r="O29" s="187"/>
    </row>
    <row r="30" spans="1:15" ht="12.75" hidden="1" customHeight="1" outlineLevel="1" x14ac:dyDescent="0.2">
      <c r="A30" s="70" t="str">
        <f>"#"&amp;YEAR(Indexes!A30)&amp;"0"&amp;MONTH(Indexes!A30)&amp;"0"&amp;DAY(Indexes!A30)</f>
        <v>#20160105</v>
      </c>
      <c r="B30" s="71">
        <f>(_xll.qlYieldTSDiscount(B$4,SettlementDate,,InterestRatesTrigger)/_xll.qlYieldTSDiscount(B$4,Indexes!$A30,,InterestRatesTrigger)-1)/Indexes!$I30</f>
        <v>-5.3469030975888954E-5</v>
      </c>
      <c r="C30" s="71">
        <f>(_xll.qlYieldTSDiscount(C$4,SettlementDate,,InterestRatesTrigger)/_xll.qlYieldTSDiscount(C$4,Indexes!$A30,,InterestRatesTrigger)-1)/Indexes!$I30</f>
        <v>7.9996853538816248E-4</v>
      </c>
      <c r="D30" s="71">
        <f>(_xll.qlYieldTSDiscount(D$4,SettlementDate,,InterestRatesTrigger)/_xll.qlYieldTSDiscount(D$4,Indexes!$A30,,InterestRatesTrigger)-1)/Indexes!$I30</f>
        <v>1.8478963935342763E-3</v>
      </c>
      <c r="E30" s="76"/>
      <c r="F30" s="59"/>
      <c r="G30" s="144">
        <f t="shared" si="4"/>
        <v>-5.0214591407561344E-4</v>
      </c>
      <c r="H30" s="148">
        <f t="shared" si="5"/>
        <v>-4.3994977659654578E-4</v>
      </c>
      <c r="I30" s="148">
        <f t="shared" si="6"/>
        <v>-9.3746026751848933E-4</v>
      </c>
      <c r="J30" s="151"/>
      <c r="L30" s="180">
        <v>4.4867688309972444E-4</v>
      </c>
      <c r="M30" s="184">
        <v>1.2399183119847083E-3</v>
      </c>
      <c r="N30" s="184">
        <v>2.7853566610527656E-3</v>
      </c>
      <c r="O30" s="187"/>
    </row>
    <row r="31" spans="1:15" ht="12.75" customHeight="1" collapsed="1" x14ac:dyDescent="0.2">
      <c r="A31" s="55" t="str">
        <f>Indexes!A31</f>
        <v>U4</v>
      </c>
      <c r="B31" s="77">
        <f>(1-_xll.qlIndexFixing(Indexes!B$13,Indexes!$J31,TRUE,InterestRatesTrigger))*100</f>
        <v>99.998864138786473</v>
      </c>
      <c r="C31" s="78">
        <f>(1-_xll.qlIndexFixing(Indexes!C$13,Indexes!$J31,TRUE,InterestRatesTrigger))*100</f>
        <v>99.912499999841145</v>
      </c>
      <c r="D31" s="78">
        <f>(1-_xll.qlIndexFixing(Indexes!D$13,Indexes!$J31,TRUE,InterestRatesTrigger))*100</f>
        <v>99.806793908298019</v>
      </c>
      <c r="E31" s="79"/>
      <c r="G31" s="152">
        <f t="shared" ref="G31:G42" si="7">B31-L31</f>
        <v>0.10895346170437392</v>
      </c>
      <c r="H31" s="153">
        <f t="shared" si="5"/>
        <v>8.9989052293958594E-2</v>
      </c>
      <c r="I31" s="153">
        <f t="shared" si="6"/>
        <v>0.12112919058296256</v>
      </c>
      <c r="J31" s="154"/>
      <c r="L31" s="188">
        <v>99.889910677082099</v>
      </c>
      <c r="M31" s="189">
        <v>99.822510947547187</v>
      </c>
      <c r="N31" s="190">
        <v>99.685664717715056</v>
      </c>
      <c r="O31" s="191"/>
    </row>
    <row r="32" spans="1:15" ht="12.75" customHeight="1" x14ac:dyDescent="0.2">
      <c r="A32" s="70" t="str">
        <f>Indexes!A32</f>
        <v>V4</v>
      </c>
      <c r="B32" s="81">
        <f>(1-_xll.qlIndexFixing(Indexes!B$13,Indexes!$J32,TRUE,InterestRatesTrigger))*100</f>
        <v>99.997172443149339</v>
      </c>
      <c r="C32" s="82">
        <f>(1-_xll.qlIndexFixing(Indexes!C$13,Indexes!$J32,TRUE,InterestRatesTrigger))*100</f>
        <v>99.911827707788703</v>
      </c>
      <c r="D32" s="82">
        <f>(1-_xll.qlIndexFixing(Indexes!D$13,Indexes!$J32,TRUE,InterestRatesTrigger))*100</f>
        <v>99.812626601044286</v>
      </c>
      <c r="E32" s="83"/>
      <c r="G32" s="155">
        <f t="shared" si="7"/>
        <v>8.2121946622876862E-2</v>
      </c>
      <c r="H32" s="156">
        <f t="shared" si="5"/>
        <v>6.5465894386832701E-2</v>
      </c>
      <c r="I32" s="156">
        <f t="shared" si="6"/>
        <v>9.9299014720870105E-2</v>
      </c>
      <c r="J32" s="157"/>
      <c r="L32" s="192">
        <v>99.915050496526462</v>
      </c>
      <c r="M32" s="193">
        <v>99.84636181340187</v>
      </c>
      <c r="N32" s="194">
        <v>99.713327586323416</v>
      </c>
      <c r="O32" s="195"/>
    </row>
    <row r="33" spans="1:15" ht="12.75" customHeight="1" x14ac:dyDescent="0.2">
      <c r="A33" s="70" t="str">
        <f>Indexes!A33</f>
        <v>X4</v>
      </c>
      <c r="B33" s="81">
        <f>(1-_xll.qlIndexFixing(Indexes!B$13,Indexes!$J33,TRUE,InterestRatesTrigger))*100</f>
        <v>99.994589539288455</v>
      </c>
      <c r="C33" s="82">
        <f>(1-_xll.qlIndexFixing(Indexes!C$13,Indexes!$J33,TRUE,InterestRatesTrigger))*100</f>
        <v>99.91520934320846</v>
      </c>
      <c r="D33" s="82">
        <f>(1-_xll.qlIndexFixing(Indexes!D$13,Indexes!$J33,TRUE,InterestRatesTrigger))*100</f>
        <v>99.812786237097015</v>
      </c>
      <c r="E33" s="83"/>
      <c r="G33" s="155">
        <f t="shared" si="7"/>
        <v>5.2391085525812287E-2</v>
      </c>
      <c r="H33" s="156">
        <f t="shared" si="5"/>
        <v>4.7089121369097597E-2</v>
      </c>
      <c r="I33" s="156">
        <f t="shared" si="6"/>
        <v>7.8409221862230538E-2</v>
      </c>
      <c r="J33" s="157"/>
      <c r="L33" s="192">
        <v>99.942198453762643</v>
      </c>
      <c r="M33" s="193">
        <v>99.868120221839362</v>
      </c>
      <c r="N33" s="194">
        <v>99.734377015234784</v>
      </c>
      <c r="O33" s="195"/>
    </row>
    <row r="34" spans="1:15" ht="12.75" customHeight="1" x14ac:dyDescent="0.2">
      <c r="A34" s="70" t="str">
        <f>Indexes!A34</f>
        <v>Z4</v>
      </c>
      <c r="B34" s="81">
        <f>(1-_xll.qlIndexFixing(Indexes!B$13,Indexes!$J34,TRUE,InterestRatesTrigger))*100</f>
        <v>99.993305769846771</v>
      </c>
      <c r="C34" s="82">
        <f>(1-_xll.qlIndexFixing(Indexes!C$13,Indexes!$J34,TRUE,InterestRatesTrigger))*100</f>
        <v>99.917500000000018</v>
      </c>
      <c r="D34" s="82">
        <f>(1-_xll.qlIndexFixing(Indexes!D$13,Indexes!$J34,TRUE,InterestRatesTrigger))*100</f>
        <v>99.81477695100196</v>
      </c>
      <c r="E34" s="83"/>
      <c r="G34" s="155">
        <f t="shared" si="7"/>
        <v>3.8688688387765069E-2</v>
      </c>
      <c r="H34" s="156">
        <f t="shared" si="5"/>
        <v>2.9818440121573531E-2</v>
      </c>
      <c r="I34" s="156">
        <f t="shared" si="6"/>
        <v>6.8304328179465301E-2</v>
      </c>
      <c r="J34" s="157"/>
      <c r="L34" s="192">
        <v>99.954617081459006</v>
      </c>
      <c r="M34" s="193">
        <v>99.887681559878445</v>
      </c>
      <c r="N34" s="194">
        <v>99.746472622822495</v>
      </c>
      <c r="O34" s="195"/>
    </row>
    <row r="35" spans="1:15" ht="12.75" customHeight="1" x14ac:dyDescent="0.2">
      <c r="A35" s="70" t="str">
        <f>Indexes!A35</f>
        <v>F5</v>
      </c>
      <c r="B35" s="81">
        <f>(1-_xll.qlIndexFixing(Indexes!B$13,Indexes!$J35,TRUE,InterestRatesTrigger))*100</f>
        <v>99.999654028128404</v>
      </c>
      <c r="C35" s="82">
        <f>(1-_xll.qlIndexFixing(Indexes!C$13,Indexes!$J35,TRUE,InterestRatesTrigger))*100</f>
        <v>99.921226019724685</v>
      </c>
      <c r="D35" s="84"/>
      <c r="E35" s="83"/>
      <c r="G35" s="155">
        <f t="shared" si="7"/>
        <v>3.351233726026237E-2</v>
      </c>
      <c r="H35" s="156">
        <f t="shared" si="5"/>
        <v>2.1044007604885451E-2</v>
      </c>
      <c r="I35" s="158"/>
      <c r="J35" s="157"/>
      <c r="L35" s="192">
        <v>99.966141690868142</v>
      </c>
      <c r="M35" s="193">
        <v>99.900182012119799</v>
      </c>
      <c r="N35" s="194"/>
      <c r="O35" s="195"/>
    </row>
    <row r="36" spans="1:15" ht="12.75" customHeight="1" x14ac:dyDescent="0.2">
      <c r="A36" s="70" t="str">
        <f>Indexes!A36</f>
        <v>G5</v>
      </c>
      <c r="B36" s="81">
        <f>(1-_xll.qlIndexFixing(Indexes!B$13,Indexes!$J36,TRUE,InterestRatesTrigger))*100</f>
        <v>100.00644044341736</v>
      </c>
      <c r="C36" s="82">
        <f>(1-_xll.qlIndexFixing(Indexes!C$13,Indexes!$J36,TRUE,InterestRatesTrigger))*100</f>
        <v>99.924593398915448</v>
      </c>
      <c r="D36" s="84"/>
      <c r="E36" s="83"/>
      <c r="G36" s="155">
        <f t="shared" si="7"/>
        <v>3.9674853616261885E-2</v>
      </c>
      <c r="H36" s="156">
        <f t="shared" si="5"/>
        <v>2.0588680222218159E-2</v>
      </c>
      <c r="I36" s="158"/>
      <c r="J36" s="157"/>
      <c r="L36" s="192">
        <v>99.966765589801099</v>
      </c>
      <c r="M36" s="193">
        <v>99.90400471869323</v>
      </c>
      <c r="N36" s="194"/>
      <c r="O36" s="195"/>
    </row>
    <row r="37" spans="1:15" ht="12.75" customHeight="1" x14ac:dyDescent="0.2">
      <c r="A37" s="70" t="str">
        <f>Indexes!A37</f>
        <v>H5</v>
      </c>
      <c r="B37" s="81">
        <f>(1-_xll.qlIndexFixing(Indexes!B$13,Indexes!$J37,TRUE,InterestRatesTrigger))*100</f>
        <v>100.01702310627829</v>
      </c>
      <c r="C37" s="82">
        <f>(1-_xll.qlIndexFixing(Indexes!C$13,Indexes!$J37,TRUE,InterestRatesTrigger))*100</f>
        <v>99.927499999947344</v>
      </c>
      <c r="D37" s="84"/>
      <c r="E37" s="83"/>
      <c r="G37" s="155">
        <f t="shared" si="7"/>
        <v>4.485818032983957E-2</v>
      </c>
      <c r="H37" s="156">
        <f t="shared" si="5"/>
        <v>2.4545297500949914E-2</v>
      </c>
      <c r="I37" s="158"/>
      <c r="J37" s="157"/>
      <c r="L37" s="192">
        <v>99.972164925948448</v>
      </c>
      <c r="M37" s="193">
        <v>99.902954702446394</v>
      </c>
      <c r="N37" s="194"/>
      <c r="O37" s="195"/>
    </row>
    <row r="38" spans="1:15" ht="12.75" customHeight="1" x14ac:dyDescent="0.2">
      <c r="A38" s="70" t="str">
        <f>Indexes!A38</f>
        <v>J5</v>
      </c>
      <c r="B38" s="81">
        <f>(1-_xll.qlIndexFixing(Indexes!B$13,Indexes!$J38,TRUE,InterestRatesTrigger))*100</f>
        <v>100.01685913861355</v>
      </c>
      <c r="C38" s="82">
        <f>(1-_xll.qlIndexFixing(Indexes!C$13,Indexes!$J38,TRUE,InterestRatesTrigger))*100</f>
        <v>99.928921742490374</v>
      </c>
      <c r="D38" s="84"/>
      <c r="E38" s="83"/>
      <c r="G38" s="155">
        <f t="shared" si="7"/>
        <v>4.4953844955756495E-2</v>
      </c>
      <c r="H38" s="156">
        <f t="shared" si="5"/>
        <v>2.7017879759128505E-2</v>
      </c>
      <c r="I38" s="158"/>
      <c r="J38" s="157"/>
      <c r="L38" s="192">
        <v>99.971905293657798</v>
      </c>
      <c r="M38" s="193">
        <v>99.901903862731245</v>
      </c>
      <c r="N38" s="194"/>
      <c r="O38" s="195"/>
    </row>
    <row r="39" spans="1:15" ht="12.75" customHeight="1" x14ac:dyDescent="0.2">
      <c r="A39" s="70" t="str">
        <f>Indexes!A39</f>
        <v>K5</v>
      </c>
      <c r="B39" s="81">
        <f>(1-_xll.qlIndexFixing(Indexes!B$13,Indexes!$J39,TRUE,InterestRatesTrigger))*100</f>
        <v>100.0123375483914</v>
      </c>
      <c r="C39" s="82">
        <f>(1-_xll.qlIndexFixing(Indexes!C$13,Indexes!$J39,TRUE,InterestRatesTrigger))*100</f>
        <v>99.92884375260094</v>
      </c>
      <c r="D39" s="84"/>
      <c r="E39" s="83"/>
      <c r="G39" s="155">
        <f t="shared" si="7"/>
        <v>3.9117402018163716E-2</v>
      </c>
      <c r="H39" s="156">
        <f t="shared" si="5"/>
        <v>2.8290847107157902E-2</v>
      </c>
      <c r="I39" s="158"/>
      <c r="J39" s="157"/>
      <c r="L39" s="192">
        <v>99.973220146373237</v>
      </c>
      <c r="M39" s="193">
        <v>99.900552905493782</v>
      </c>
      <c r="N39" s="194"/>
      <c r="O39" s="195"/>
    </row>
    <row r="40" spans="1:15" ht="12.75" customHeight="1" x14ac:dyDescent="0.2">
      <c r="A40" s="70" t="str">
        <f>Indexes!A40</f>
        <v>M5</v>
      </c>
      <c r="B40" s="81">
        <f>(1-_xll.qlIndexFixing(Indexes!B$13,Indexes!$J40,TRUE,InterestRatesTrigger))*100</f>
        <v>100.00947724052705</v>
      </c>
      <c r="C40" s="82">
        <f>(1-_xll.qlIndexFixing(Indexes!C$13,Indexes!$J40,TRUE,InterestRatesTrigger))*100</f>
        <v>99.927499999904938</v>
      </c>
      <c r="D40" s="84"/>
      <c r="E40" s="83"/>
      <c r="G40" s="155">
        <f t="shared" si="7"/>
        <v>3.2779919915810751E-2</v>
      </c>
      <c r="H40" s="156">
        <f t="shared" si="5"/>
        <v>2.9175209818532721E-2</v>
      </c>
      <c r="I40" s="158"/>
      <c r="J40" s="157"/>
      <c r="L40" s="192">
        <v>99.976697320611237</v>
      </c>
      <c r="M40" s="193">
        <v>99.898324790086406</v>
      </c>
      <c r="N40" s="194"/>
      <c r="O40" s="195"/>
    </row>
    <row r="41" spans="1:15" ht="12.75" customHeight="1" x14ac:dyDescent="0.2">
      <c r="A41" s="70" t="str">
        <f>Indexes!A41</f>
        <v>N5</v>
      </c>
      <c r="B41" s="81">
        <f>(1-_xll.qlIndexFixing(Indexes!B$13,Indexes!$J41,TRUE,InterestRatesTrigger))*100</f>
        <v>100.01103353290964</v>
      </c>
      <c r="C41" s="82">
        <f>(1-_xll.qlIndexFixing(Indexes!C$13,Indexes!$J41,TRUE,InterestRatesTrigger))*100</f>
        <v>99.925200280108612</v>
      </c>
      <c r="D41" s="84"/>
      <c r="E41" s="83"/>
      <c r="G41" s="155">
        <f t="shared" si="7"/>
        <v>3.6634697979224029E-2</v>
      </c>
      <c r="H41" s="156">
        <f t="shared" si="5"/>
        <v>3.5277007611071554E-2</v>
      </c>
      <c r="I41" s="158"/>
      <c r="J41" s="157"/>
      <c r="L41" s="192">
        <v>99.974398834930412</v>
      </c>
      <c r="M41" s="193">
        <v>99.889923272497541</v>
      </c>
      <c r="N41" s="194"/>
      <c r="O41" s="195"/>
    </row>
    <row r="42" spans="1:15" ht="12.75" customHeight="1" x14ac:dyDescent="0.2">
      <c r="A42" s="70" t="str">
        <f>Indexes!A42</f>
        <v>Q5</v>
      </c>
      <c r="B42" s="81">
        <f>(1-_xll.qlIndexFixing(Indexes!B$13,Indexes!$J42,TRUE,InterestRatesTrigger))*100</f>
        <v>100.0136216370971</v>
      </c>
      <c r="C42" s="82">
        <f>(1-_xll.qlIndexFixing(Indexes!C$13,Indexes!$J42,TRUE,InterestRatesTrigger))*100</f>
        <v>99.921244734629369</v>
      </c>
      <c r="D42" s="84"/>
      <c r="E42" s="83"/>
      <c r="G42" s="155">
        <f t="shared" si="7"/>
        <v>3.6405169730159059E-2</v>
      </c>
      <c r="H42" s="156">
        <f t="shared" si="5"/>
        <v>3.9376693766499216E-2</v>
      </c>
      <c r="I42" s="158"/>
      <c r="J42" s="157"/>
      <c r="L42" s="192">
        <v>99.977216467366944</v>
      </c>
      <c r="M42" s="193">
        <v>99.881868040862869</v>
      </c>
      <c r="N42" s="194"/>
      <c r="O42" s="195"/>
    </row>
    <row r="43" spans="1:15" ht="12.75" customHeight="1" x14ac:dyDescent="0.2">
      <c r="A43" s="70" t="str">
        <f>Indexes!A43</f>
        <v>U5</v>
      </c>
      <c r="B43" s="81"/>
      <c r="C43" s="82">
        <f>(1-_xll.qlIndexFixing(Indexes!C$13,Indexes!$J43,TRUE,InterestRatesTrigger))*100</f>
        <v>99.917500000160146</v>
      </c>
      <c r="D43" s="84"/>
      <c r="E43" s="83"/>
      <c r="G43" s="155"/>
      <c r="H43" s="156">
        <f t="shared" si="5"/>
        <v>4.3709093935007104E-2</v>
      </c>
      <c r="I43" s="158"/>
      <c r="J43" s="157"/>
      <c r="L43" s="192"/>
      <c r="M43" s="193">
        <v>99.873790906225139</v>
      </c>
      <c r="N43" s="194"/>
      <c r="O43" s="195"/>
    </row>
    <row r="44" spans="1:15" ht="12.75" customHeight="1" x14ac:dyDescent="0.2">
      <c r="A44" s="70" t="str">
        <f>Indexes!A44</f>
        <v>Z5</v>
      </c>
      <c r="B44" s="81"/>
      <c r="C44" s="82">
        <f>(1-_xll.qlIndexFixing(Indexes!C$13,Indexes!$J44,TRUE,InterestRatesTrigger))*100</f>
        <v>99.902500000000032</v>
      </c>
      <c r="D44" s="84"/>
      <c r="E44" s="83"/>
      <c r="G44" s="155"/>
      <c r="H44" s="156">
        <f t="shared" si="5"/>
        <v>6.3132132099227078E-2</v>
      </c>
      <c r="I44" s="158"/>
      <c r="J44" s="157"/>
      <c r="L44" s="192"/>
      <c r="M44" s="193">
        <v>99.839367867900805</v>
      </c>
      <c r="N44" s="194"/>
      <c r="O44" s="195"/>
    </row>
    <row r="45" spans="1:15" ht="12.75" customHeight="1" x14ac:dyDescent="0.2">
      <c r="A45" s="70" t="str">
        <f>Indexes!A45</f>
        <v>H6</v>
      </c>
      <c r="B45" s="81"/>
      <c r="C45" s="82">
        <f>(1-_xll.qlIndexFixing(Indexes!C$13,Indexes!$J45,TRUE,InterestRatesTrigger))*100</f>
        <v>99.882499999999979</v>
      </c>
      <c r="D45" s="84"/>
      <c r="E45" s="83"/>
      <c r="G45" s="155"/>
      <c r="H45" s="156">
        <f t="shared" si="5"/>
        <v>9.7470450306090584E-2</v>
      </c>
      <c r="I45" s="158"/>
      <c r="J45" s="157"/>
      <c r="L45" s="192"/>
      <c r="M45" s="193">
        <v>99.785029549693888</v>
      </c>
      <c r="N45" s="194"/>
      <c r="O45" s="195"/>
    </row>
    <row r="46" spans="1:15" ht="12.75" customHeight="1" x14ac:dyDescent="0.2">
      <c r="A46" s="70" t="str">
        <f>Indexes!A46</f>
        <v>M6</v>
      </c>
      <c r="B46" s="81"/>
      <c r="C46" s="82">
        <f>(1-_xll.qlIndexFixing(Indexes!C$13,Indexes!$J46,TRUE,InterestRatesTrigger))*100</f>
        <v>99.852500000150528</v>
      </c>
      <c r="D46" s="84"/>
      <c r="E46" s="83"/>
      <c r="G46" s="155"/>
      <c r="H46" s="156">
        <f t="shared" si="5"/>
        <v>0.12172482662187178</v>
      </c>
      <c r="I46" s="158"/>
      <c r="J46" s="157"/>
      <c r="L46" s="192"/>
      <c r="M46" s="193">
        <v>99.730775173528656</v>
      </c>
      <c r="N46" s="194"/>
      <c r="O46" s="195"/>
    </row>
    <row r="47" spans="1:15" ht="12.75" hidden="1" customHeight="1" outlineLevel="1" x14ac:dyDescent="0.2">
      <c r="A47" s="70" t="str">
        <f>Indexes!A47</f>
        <v>U6</v>
      </c>
      <c r="B47" s="81"/>
      <c r="C47" s="82">
        <f>(1-_xll.qlIndexFixing(Index3M,Indexes!$J47,TRUE,InterestRatesTrigger))*100</f>
        <v>99.813303651694824</v>
      </c>
      <c r="D47" s="84"/>
      <c r="E47" s="83"/>
      <c r="G47" s="155"/>
      <c r="H47" s="156">
        <f t="shared" si="5"/>
        <v>0.13536874858560566</v>
      </c>
      <c r="I47" s="158"/>
      <c r="J47" s="157"/>
      <c r="L47" s="192"/>
      <c r="M47" s="193">
        <v>99.677934903109218</v>
      </c>
      <c r="N47" s="194"/>
      <c r="O47" s="195"/>
    </row>
    <row r="48" spans="1:15" ht="12.75" hidden="1" customHeight="1" outlineLevel="1" x14ac:dyDescent="0.2">
      <c r="A48" s="70" t="str">
        <f>Indexes!A48</f>
        <v>Z6</v>
      </c>
      <c r="B48" s="81"/>
      <c r="C48" s="82">
        <f>(1-_xll.qlIndexFixing(Index3M,Indexes!$J48,TRUE,InterestRatesTrigger))*100</f>
        <v>99.768938187473736</v>
      </c>
      <c r="D48" s="84"/>
      <c r="E48" s="83"/>
      <c r="G48" s="155"/>
      <c r="H48" s="156">
        <f t="shared" si="5"/>
        <v>0.15744943828974556</v>
      </c>
      <c r="I48" s="158"/>
      <c r="J48" s="157"/>
      <c r="L48" s="192"/>
      <c r="M48" s="193">
        <v>99.611488749183991</v>
      </c>
      <c r="N48" s="194"/>
      <c r="O48" s="195"/>
    </row>
    <row r="49" spans="1:15" ht="12.75" hidden="1" customHeight="1" outlineLevel="1" x14ac:dyDescent="0.2">
      <c r="A49" s="70" t="str">
        <f>Indexes!A49</f>
        <v>H7</v>
      </c>
      <c r="B49" s="81"/>
      <c r="C49" s="82">
        <f>(1-_xll.qlIndexFixing(Index3M,Indexes!$J49,TRUE,InterestRatesTrigger))*100</f>
        <v>99.719625771008282</v>
      </c>
      <c r="D49" s="84"/>
      <c r="E49" s="83"/>
      <c r="G49" s="155"/>
      <c r="H49" s="156">
        <f t="shared" si="5"/>
        <v>0.18997513874853666</v>
      </c>
      <c r="I49" s="158"/>
      <c r="J49" s="157"/>
      <c r="L49" s="192"/>
      <c r="M49" s="193">
        <v>99.529650632259745</v>
      </c>
      <c r="N49" s="194"/>
      <c r="O49" s="195"/>
    </row>
    <row r="50" spans="1:15" ht="12.75" hidden="1" customHeight="1" outlineLevel="1" x14ac:dyDescent="0.2">
      <c r="A50" s="61" t="str">
        <f>Indexes!A50</f>
        <v>M7</v>
      </c>
      <c r="B50" s="85"/>
      <c r="C50" s="86">
        <f>(1-_xll.qlIndexFixing(Index3M,Indexes!$J50,TRUE,InterestRatesTrigger))*100</f>
        <v>99.653629652176619</v>
      </c>
      <c r="D50" s="32"/>
      <c r="E50" s="87"/>
      <c r="G50" s="159"/>
      <c r="H50" s="160">
        <f t="shared" si="5"/>
        <v>0.22128396663077865</v>
      </c>
      <c r="I50" s="161"/>
      <c r="J50" s="162"/>
      <c r="L50" s="196"/>
      <c r="M50" s="197">
        <v>99.43234568554584</v>
      </c>
      <c r="N50" s="198"/>
      <c r="O50" s="199"/>
    </row>
    <row r="51" spans="1:15" ht="12.75" customHeight="1" collapsed="1" x14ac:dyDescent="0.2">
      <c r="A51" s="55" t="str">
        <f>"FRA"&amp;Indexes!A51&amp;"xF1"</f>
        <v>FRATxF1</v>
      </c>
      <c r="B51" s="80"/>
      <c r="C51" s="88">
        <f>_xll.qlIndexFixing(Index3M,Indexes!$J51,TRUE,InterestRatesTrigger)</f>
        <v>8.7158398893073525E-4</v>
      </c>
      <c r="D51" s="89">
        <f>_xll.qlIndexFixing(Index6M,Indexes!$J51,TRUE,InterestRatesTrigger)</f>
        <v>1.9049999999600027E-3</v>
      </c>
      <c r="E51" s="79"/>
      <c r="G51" s="152"/>
      <c r="H51" s="136">
        <f t="shared" si="5"/>
        <v>-9.3223015924458479E-4</v>
      </c>
      <c r="I51" s="163">
        <f t="shared" ref="I51:I70" si="8">D51-N51</f>
        <v>-1.314307818523247E-3</v>
      </c>
      <c r="J51" s="154"/>
      <c r="L51" s="188"/>
      <c r="M51" s="200">
        <v>1.80381414817532E-3</v>
      </c>
      <c r="N51" s="201">
        <v>3.2193078184832497E-3</v>
      </c>
      <c r="O51" s="191"/>
    </row>
    <row r="52" spans="1:15" ht="12.75" customHeight="1" x14ac:dyDescent="0.2">
      <c r="A52" s="61" t="str">
        <f>"FRA"&amp;Indexes!A52&amp;"xF1"</f>
        <v>FRATOMxF1</v>
      </c>
      <c r="B52" s="32"/>
      <c r="C52" s="90">
        <f>_xll.qlIndexFixing(Index3M,Indexes!$J52,TRUE,InterestRatesTrigger)</f>
        <v>8.7381037543358465E-4</v>
      </c>
      <c r="D52" s="91">
        <f>_xll.qlIndexFixing(Index6M,Indexes!$J52,TRUE,InterestRatesTrigger)</f>
        <v>1.8968660854415185E-3</v>
      </c>
      <c r="E52" s="87"/>
      <c r="G52" s="159"/>
      <c r="H52" s="139">
        <f t="shared" si="5"/>
        <v>-9.2618962456577302E-4</v>
      </c>
      <c r="I52" s="149">
        <f t="shared" si="8"/>
        <v>-1.3131339145653247E-3</v>
      </c>
      <c r="J52" s="162"/>
      <c r="L52" s="196"/>
      <c r="M52" s="202">
        <v>1.7999999999993577E-3</v>
      </c>
      <c r="N52" s="203">
        <v>3.2100000000068432E-3</v>
      </c>
      <c r="O52" s="199"/>
    </row>
    <row r="53" spans="1:15" ht="12.75" customHeight="1" x14ac:dyDescent="0.2">
      <c r="A53" s="70" t="str">
        <f>"FRA"&amp;Indexes!A53&amp;"x"</f>
        <v>FRA1x</v>
      </c>
      <c r="B53" s="60"/>
      <c r="C53" s="57">
        <f>_xll.qlIndexFixing(Index3M,Indexes!$J53,TRUE,InterestRatesTrigger)</f>
        <v>8.7900618675111804E-4</v>
      </c>
      <c r="D53" s="57">
        <f>_xll.qlIndexFixing(Index6M,Indexes!$J53,TRUE,InterestRatesTrigger)</f>
        <v>1.8199999999998012E-3</v>
      </c>
      <c r="E53" s="92">
        <f>_xll.qlIndexFixing(Index1Y,Indexes!$J53,TRUE,InterestRatesTrigger)</f>
        <v>3.5515122423741613E-3</v>
      </c>
      <c r="G53" s="135"/>
      <c r="H53" s="136">
        <f t="shared" ref="H53:H58" si="9">C53-M53</f>
        <v>-6.6799476640619999E-4</v>
      </c>
      <c r="I53" s="136">
        <f t="shared" si="8"/>
        <v>-1.0600000000188907E-3</v>
      </c>
      <c r="J53" s="164">
        <f t="shared" ref="J53:J63" si="10">E53-O53</f>
        <v>-1.8034641681680683E-3</v>
      </c>
      <c r="K53" s="93"/>
      <c r="L53" s="180"/>
      <c r="M53" s="184">
        <v>1.547000953157318E-3</v>
      </c>
      <c r="N53" s="181">
        <v>2.8800000000186918E-3</v>
      </c>
      <c r="O53" s="187">
        <v>5.3549764105422296E-3</v>
      </c>
    </row>
    <row r="54" spans="1:15" ht="12.75" customHeight="1" x14ac:dyDescent="0.2">
      <c r="A54" s="70" t="str">
        <f>"FRA"&amp;Indexes!A54&amp;"x"</f>
        <v>FRA2x</v>
      </c>
      <c r="B54" s="74"/>
      <c r="C54" s="72">
        <f>_xll.qlIndexFixing(Index3M,Indexes!$J54,TRUE,InterestRatesTrigger)</f>
        <v>8.5707659352978101E-4</v>
      </c>
      <c r="D54" s="72">
        <f>_xll.qlIndexFixing(Index6M,Indexes!$J54,TRUE,InterestRatesTrigger)</f>
        <v>1.789999999999648E-3</v>
      </c>
      <c r="E54" s="76">
        <f>_xll.qlIndexFixing(Index1Y,Indexes!$J54,TRUE,InterestRatesTrigger)</f>
        <v>3.5043200030718041E-3</v>
      </c>
      <c r="G54" s="144"/>
      <c r="H54" s="145">
        <f t="shared" si="9"/>
        <v>-5.0695262798312695E-4</v>
      </c>
      <c r="I54" s="145">
        <f t="shared" si="8"/>
        <v>-9.100000000253274E-4</v>
      </c>
      <c r="J54" s="151">
        <f t="shared" si="10"/>
        <v>-1.6844426541297837E-3</v>
      </c>
      <c r="K54" s="93"/>
      <c r="L54" s="180"/>
      <c r="M54" s="184">
        <v>1.364029221512908E-3</v>
      </c>
      <c r="N54" s="181">
        <v>2.7000000000249754E-3</v>
      </c>
      <c r="O54" s="187">
        <v>5.1887626572015878E-3</v>
      </c>
    </row>
    <row r="55" spans="1:15" ht="12.75" customHeight="1" x14ac:dyDescent="0.2">
      <c r="A55" s="70" t="str">
        <f>"FRA"&amp;Indexes!A55&amp;"x"</f>
        <v>FRA3x</v>
      </c>
      <c r="B55" s="74"/>
      <c r="C55" s="72">
        <f>_xll.qlIndexFixing(Index3M,Indexes!$J55,TRUE,InterestRatesTrigger)</f>
        <v>8.2892999289807534E-4</v>
      </c>
      <c r="D55" s="72">
        <f>_xll.qlIndexFixing(Index6M,Indexes!$J55,TRUE,InterestRatesTrigger)</f>
        <v>1.7700000000001324E-3</v>
      </c>
      <c r="E55" s="76">
        <f>_xll.qlIndexFixing(Index1Y,Indexes!$J55,TRUE,InterestRatesTrigger)</f>
        <v>3.45700000031934E-3</v>
      </c>
      <c r="G55" s="144"/>
      <c r="H55" s="145">
        <f t="shared" si="9"/>
        <v>-3.4975100794376601E-4</v>
      </c>
      <c r="I55" s="145">
        <f t="shared" si="8"/>
        <v>-7.9000000006764176E-4</v>
      </c>
      <c r="J55" s="151">
        <f t="shared" si="10"/>
        <v>-1.6020000000794773E-3</v>
      </c>
      <c r="K55" s="93"/>
      <c r="L55" s="180"/>
      <c r="M55" s="184">
        <v>1.1786810008418414E-3</v>
      </c>
      <c r="N55" s="181">
        <v>2.5600000000677741E-3</v>
      </c>
      <c r="O55" s="187">
        <v>5.0590000003988174E-3</v>
      </c>
    </row>
    <row r="56" spans="1:15" ht="12.75" customHeight="1" x14ac:dyDescent="0.2">
      <c r="A56" s="70" t="str">
        <f>"FRA"&amp;Indexes!A56&amp;"x"</f>
        <v>FRA4x</v>
      </c>
      <c r="B56" s="74"/>
      <c r="C56" s="72">
        <f>_xll.qlIndexFixing(Index3M,Indexes!$J56,TRUE,InterestRatesTrigger)</f>
        <v>7.9784182763914828E-4</v>
      </c>
      <c r="D56" s="72">
        <f>_xll.qlIndexFixing(Index6M,Indexes!$J56,TRUE,InterestRatesTrigger)</f>
        <v>1.7600000000001987E-3</v>
      </c>
      <c r="E56" s="76">
        <f>_xll.qlIndexFixing(Index1Y,Indexes!$J56,TRUE,InterestRatesTrigger)</f>
        <v>3.4159211985201571E-3</v>
      </c>
      <c r="G56" s="144"/>
      <c r="H56" s="145">
        <f t="shared" si="9"/>
        <v>-2.1527762909455211E-4</v>
      </c>
      <c r="I56" s="145">
        <f t="shared" si="8"/>
        <v>-7.2999999991878628E-4</v>
      </c>
      <c r="J56" s="151">
        <f t="shared" si="10"/>
        <v>-1.5299460615853743E-3</v>
      </c>
      <c r="K56" s="93"/>
      <c r="L56" s="180"/>
      <c r="M56" s="184">
        <v>1.0131194567337004E-3</v>
      </c>
      <c r="N56" s="181">
        <v>2.489999999918985E-3</v>
      </c>
      <c r="O56" s="187">
        <v>4.9458672601055314E-3</v>
      </c>
    </row>
    <row r="57" spans="1:15" ht="12.75" customHeight="1" x14ac:dyDescent="0.2">
      <c r="A57" s="70" t="str">
        <f>"FRA"&amp;Indexes!A57&amp;"x"</f>
        <v>FRA5x</v>
      </c>
      <c r="B57" s="74"/>
      <c r="C57" s="72">
        <f>_xll.qlIndexFixing(Index3M,Indexes!$J57,TRUE,InterestRatesTrigger)</f>
        <v>7.612348162177651E-4</v>
      </c>
      <c r="D57" s="72">
        <f>_xll.qlIndexFixing(Index6M,Indexes!$J57,TRUE,InterestRatesTrigger)</f>
        <v>1.7499999998768761E-3</v>
      </c>
      <c r="E57" s="76">
        <f>_xll.qlIndexFixing(Index1Y,Indexes!$J57,TRUE,InterestRatesTrigger)</f>
        <v>3.3836743466887412E-3</v>
      </c>
      <c r="G57" s="144"/>
      <c r="H57" s="145">
        <f t="shared" si="9"/>
        <v>-1.9943311435433703E-4</v>
      </c>
      <c r="I57" s="145">
        <f t="shared" si="8"/>
        <v>-6.8000000028857607E-4</v>
      </c>
      <c r="J57" s="151">
        <f t="shared" si="10"/>
        <v>-1.483534803008823E-3</v>
      </c>
      <c r="K57" s="93"/>
      <c r="L57" s="180"/>
      <c r="M57" s="184">
        <v>9.6066793057210213E-4</v>
      </c>
      <c r="N57" s="181">
        <v>2.4300000001654522E-3</v>
      </c>
      <c r="O57" s="187">
        <v>4.8672091496975642E-3</v>
      </c>
    </row>
    <row r="58" spans="1:15" ht="12.75" customHeight="1" x14ac:dyDescent="0.2">
      <c r="A58" s="70" t="str">
        <f>"FRA"&amp;Indexes!A58&amp;"x"</f>
        <v>FRA6x</v>
      </c>
      <c r="B58" s="74"/>
      <c r="C58" s="72">
        <f>_xll.qlIndexFixing(Index3M,Indexes!$J58,TRUE,InterestRatesTrigger)</f>
        <v>7.2992748118739658E-4</v>
      </c>
      <c r="D58" s="72">
        <f>_xll.qlIndexFixing(Index6M,Indexes!$J58,TRUE,InterestRatesTrigger)</f>
        <v>1.7399999999999673E-3</v>
      </c>
      <c r="E58" s="76">
        <f>_xll.qlIndexFixing(Index1Y,Indexes!$J58,TRUE,InterestRatesTrigger)</f>
        <v>3.3670000000001104E-3</v>
      </c>
      <c r="G58" s="144"/>
      <c r="H58" s="145">
        <f t="shared" si="9"/>
        <v>-2.3685374094115932E-4</v>
      </c>
      <c r="I58" s="145">
        <f t="shared" si="8"/>
        <v>-6.3999999979717651E-4</v>
      </c>
      <c r="J58" s="151">
        <f t="shared" si="10"/>
        <v>-1.4469999997092416E-3</v>
      </c>
      <c r="K58" s="93"/>
      <c r="L58" s="180"/>
      <c r="M58" s="184">
        <v>9.6678122212855589E-4</v>
      </c>
      <c r="N58" s="181">
        <v>2.3799999997971438E-3</v>
      </c>
      <c r="O58" s="187">
        <v>4.813999999709352E-3</v>
      </c>
    </row>
    <row r="59" spans="1:15" ht="12.75" hidden="1" customHeight="1" outlineLevel="1" x14ac:dyDescent="0.2">
      <c r="A59" s="70" t="str">
        <f>"FRA"&amp;Indexes!A59&amp;"x"</f>
        <v>FRA7x</v>
      </c>
      <c r="B59" s="74"/>
      <c r="C59" s="71"/>
      <c r="D59" s="72">
        <f>_xll.qlIndexFixing(Index6M,Indexes!$J59,TRUE,InterestRatesTrigger)</f>
        <v>1.7699999999997364E-3</v>
      </c>
      <c r="E59" s="76">
        <f>_xll.qlIndexFixing(Index1Y,Indexes!$J59,TRUE,InterestRatesTrigger)</f>
        <v>3.3629732939885883E-3</v>
      </c>
      <c r="G59" s="144"/>
      <c r="H59" s="148"/>
      <c r="I59" s="145">
        <f t="shared" si="8"/>
        <v>-6.4999999979640176E-4</v>
      </c>
      <c r="J59" s="151">
        <f t="shared" si="10"/>
        <v>-1.4200271764428433E-3</v>
      </c>
      <c r="K59" s="93"/>
      <c r="L59" s="180"/>
      <c r="M59" s="184"/>
      <c r="N59" s="181">
        <v>2.4199999997961382E-3</v>
      </c>
      <c r="O59" s="187">
        <v>4.7830004704314316E-3</v>
      </c>
    </row>
    <row r="60" spans="1:15" ht="12.75" hidden="1" customHeight="1" outlineLevel="1" x14ac:dyDescent="0.2">
      <c r="A60" s="70" t="str">
        <f>"FRA"&amp;Indexes!A60&amp;"x"</f>
        <v>FRA8x</v>
      </c>
      <c r="B60" s="74"/>
      <c r="C60" s="71"/>
      <c r="D60" s="72">
        <f>_xll.qlIndexFixing(Index6M,Indexes!$J60,TRUE,InterestRatesTrigger)</f>
        <v>1.8000000000000626E-3</v>
      </c>
      <c r="E60" s="76">
        <f>_xll.qlIndexFixing(Index1Y,Indexes!$J60,TRUE,InterestRatesTrigger)</f>
        <v>3.3736819221926602E-3</v>
      </c>
      <c r="G60" s="144"/>
      <c r="H60" s="148"/>
      <c r="I60" s="145">
        <f t="shared" si="8"/>
        <v>-6.6000000041677664E-4</v>
      </c>
      <c r="J60" s="151">
        <f t="shared" si="10"/>
        <v>-1.3957170997175674E-3</v>
      </c>
      <c r="K60" s="93"/>
      <c r="L60" s="180"/>
      <c r="M60" s="184"/>
      <c r="N60" s="181">
        <v>2.4600000004168393E-3</v>
      </c>
      <c r="O60" s="187">
        <v>4.7693990219102277E-3</v>
      </c>
    </row>
    <row r="61" spans="1:15" ht="12.75" hidden="1" customHeight="1" outlineLevel="1" x14ac:dyDescent="0.2">
      <c r="A61" s="70" t="str">
        <f>"FRA"&amp;Indexes!A61&amp;"x"</f>
        <v>FRA9x</v>
      </c>
      <c r="B61" s="74"/>
      <c r="C61" s="71"/>
      <c r="D61" s="72">
        <f>_xll.qlIndexFixing(Index6M,Indexes!$J61,TRUE,InterestRatesTrigger)</f>
        <v>1.8299999999999985E-3</v>
      </c>
      <c r="E61" s="76">
        <f>_xll.qlIndexFixing(Index1Y,Indexes!$J61,TRUE,InterestRatesTrigger)</f>
        <v>3.3989999993599431E-3</v>
      </c>
      <c r="G61" s="144"/>
      <c r="H61" s="148"/>
      <c r="I61" s="145">
        <f t="shared" si="8"/>
        <v>-6.7000000046795187E-4</v>
      </c>
      <c r="J61" s="151">
        <f t="shared" si="10"/>
        <v>-1.3780000006400734E-3</v>
      </c>
      <c r="K61" s="93"/>
      <c r="L61" s="180"/>
      <c r="M61" s="184"/>
      <c r="N61" s="181">
        <v>2.5000000004679504E-3</v>
      </c>
      <c r="O61" s="187">
        <v>4.7770000000000165E-3</v>
      </c>
    </row>
    <row r="62" spans="1:15" ht="12.75" hidden="1" customHeight="1" outlineLevel="1" x14ac:dyDescent="0.2">
      <c r="A62" s="70" t="str">
        <f>"FRA"&amp;Indexes!A62&amp;"x"</f>
        <v>FRA10x</v>
      </c>
      <c r="B62" s="74"/>
      <c r="C62" s="71"/>
      <c r="D62" s="72">
        <f>_xll.qlIndexFixing(Index6M,Indexes!$J62,TRUE,InterestRatesTrigger)</f>
        <v>1.890000000000044E-3</v>
      </c>
      <c r="E62" s="76">
        <f>_xll.qlIndexFixing(Index1Y,Indexes!$J62,TRUE,InterestRatesTrigger)</f>
        <v>3.4342182576112294E-3</v>
      </c>
      <c r="G62" s="144"/>
      <c r="H62" s="148"/>
      <c r="I62" s="145">
        <f t="shared" si="8"/>
        <v>-7.0999999991509279E-4</v>
      </c>
      <c r="J62" s="151">
        <f t="shared" si="10"/>
        <v>-1.3708371511645546E-3</v>
      </c>
      <c r="K62" s="93"/>
      <c r="L62" s="180"/>
      <c r="M62" s="184"/>
      <c r="N62" s="181">
        <v>2.5999999999151368E-3</v>
      </c>
      <c r="O62" s="187">
        <v>4.805055408775784E-3</v>
      </c>
    </row>
    <row r="63" spans="1:15" ht="12.75" hidden="1" customHeight="1" outlineLevel="1" x14ac:dyDescent="0.2">
      <c r="A63" s="70" t="str">
        <f>"FRA"&amp;Indexes!A63&amp;"x"</f>
        <v>FRA11x</v>
      </c>
      <c r="B63" s="74"/>
      <c r="C63" s="71"/>
      <c r="D63" s="72">
        <f>_xll.qlIndexFixing(Index6M,Indexes!$J63,TRUE,InterestRatesTrigger)</f>
        <v>1.9299999998784905E-3</v>
      </c>
      <c r="E63" s="76">
        <f>_xll.qlIndexFixing(Index1Y,Indexes!$J63,TRUE,InterestRatesTrigger)</f>
        <v>3.4817916566713706E-3</v>
      </c>
      <c r="G63" s="144"/>
      <c r="H63" s="148"/>
      <c r="I63" s="145">
        <f t="shared" si="8"/>
        <v>-7.7000000011071229E-4</v>
      </c>
      <c r="J63" s="151">
        <f t="shared" si="10"/>
        <v>-1.3662379297214111E-3</v>
      </c>
      <c r="K63" s="93"/>
      <c r="L63" s="180"/>
      <c r="M63" s="184"/>
      <c r="N63" s="181">
        <v>2.6999999999892028E-3</v>
      </c>
      <c r="O63" s="187">
        <v>4.8480295863927818E-3</v>
      </c>
    </row>
    <row r="64" spans="1:15" ht="12.75" customHeight="1" collapsed="1" x14ac:dyDescent="0.2">
      <c r="A64" s="70" t="str">
        <f>"FRA"&amp;Indexes!A64&amp;"x"</f>
        <v>FRA12x</v>
      </c>
      <c r="B64" s="74"/>
      <c r="C64" s="71"/>
      <c r="D64" s="72">
        <f>_xll.qlIndexFixing(Index6M,Indexes!$J64,TRUE,InterestRatesTrigger)</f>
        <v>1.9800000000000585E-3</v>
      </c>
      <c r="E64" s="76">
        <f>_xll.qlIndexFixing(Index1Y,Indexes!$J64,TRUE,InterestRatesTrigger)</f>
        <v>3.5499999997031851E-3</v>
      </c>
      <c r="G64" s="144"/>
      <c r="H64" s="148"/>
      <c r="I64" s="145">
        <f t="shared" si="8"/>
        <v>-8.1999999999983822E-4</v>
      </c>
      <c r="J64" s="151">
        <f>E64-O64</f>
        <v>-1.3600000002966235E-3</v>
      </c>
      <c r="K64" s="93"/>
      <c r="L64" s="180"/>
      <c r="M64" s="184"/>
      <c r="N64" s="181">
        <v>2.7999999999998968E-3</v>
      </c>
      <c r="O64" s="187">
        <v>4.9099999999998086E-3</v>
      </c>
    </row>
    <row r="65" spans="1:22" ht="12.75" hidden="1" customHeight="1" outlineLevel="1" x14ac:dyDescent="0.2">
      <c r="A65" s="70" t="str">
        <f>"FRA"&amp;Indexes!A65&amp;"x"</f>
        <v>FRA13x</v>
      </c>
      <c r="B65" s="74"/>
      <c r="C65" s="71"/>
      <c r="D65" s="72">
        <f>_xll.qlIndexFixing(Index6M,Indexes!$J65,TRUE,InterestRatesTrigger)</f>
        <v>2.0500000013226561E-3</v>
      </c>
      <c r="E65" s="76">
        <f>_xll.qlIndexFixing(Index1Y,Indexes!$J65,TRUE,InterestRatesTrigger)</f>
        <v>3.6219219034376608E-3</v>
      </c>
      <c r="G65" s="144"/>
      <c r="H65" s="148"/>
      <c r="I65" s="145">
        <f t="shared" si="8"/>
        <v>-8.799999984506258E-4</v>
      </c>
      <c r="J65" s="151">
        <f t="shared" ref="J65:J70" si="11">E65-O65</f>
        <v>-1.3737922826728196E-3</v>
      </c>
      <c r="K65" s="93"/>
      <c r="L65" s="180"/>
      <c r="M65" s="184"/>
      <c r="N65" s="181">
        <v>2.9299999997732819E-3</v>
      </c>
      <c r="O65" s="187">
        <v>4.9957141861104804E-3</v>
      </c>
    </row>
    <row r="66" spans="1:22" ht="12.75" hidden="1" customHeight="1" outlineLevel="1" x14ac:dyDescent="0.2">
      <c r="A66" s="70" t="str">
        <f>"FRA"&amp;Indexes!A66&amp;"x"</f>
        <v>FRA14x</v>
      </c>
      <c r="B66" s="74"/>
      <c r="C66" s="71"/>
      <c r="D66" s="72">
        <f>_xll.qlIndexFixing(Index6M,Indexes!$J66,TRUE,InterestRatesTrigger)</f>
        <v>2.1200000000000095E-3</v>
      </c>
      <c r="E66" s="76">
        <f>_xll.qlIndexFixing(Index1Y,Indexes!$J66,TRUE,InterestRatesTrigger)</f>
        <v>3.719666779378425E-3</v>
      </c>
      <c r="G66" s="144"/>
      <c r="H66" s="148"/>
      <c r="I66" s="145">
        <f t="shared" si="8"/>
        <v>-9.7000000135536455E-4</v>
      </c>
      <c r="J66" s="151">
        <f t="shared" si="11"/>
        <v>-1.3748747195241108E-3</v>
      </c>
      <c r="K66" s="93"/>
      <c r="L66" s="180"/>
      <c r="M66" s="184"/>
      <c r="N66" s="181">
        <v>3.090000001355374E-3</v>
      </c>
      <c r="O66" s="187">
        <v>5.0945414989025358E-3</v>
      </c>
    </row>
    <row r="67" spans="1:22" ht="12.75" hidden="1" customHeight="1" outlineLevel="1" x14ac:dyDescent="0.2">
      <c r="A67" s="70" t="str">
        <f>"FRA"&amp;Indexes!A67&amp;"x"</f>
        <v>FRA15x</v>
      </c>
      <c r="B67" s="74"/>
      <c r="C67" s="71"/>
      <c r="D67" s="72">
        <f>_xll.qlIndexFixing(Index6M,Indexes!$J67,TRUE,InterestRatesTrigger)</f>
        <v>2.199999999999998E-3</v>
      </c>
      <c r="E67" s="76">
        <f>_xll.qlIndexFixing(Index1Y,Indexes!$J67,TRUE,InterestRatesTrigger)</f>
        <v>3.8270000006669341E-3</v>
      </c>
      <c r="G67" s="144"/>
      <c r="H67" s="148"/>
      <c r="I67" s="145">
        <f t="shared" si="8"/>
        <v>-1.0399999998372883E-3</v>
      </c>
      <c r="J67" s="151">
        <f t="shared" si="11"/>
        <v>-1.3759999993330592E-3</v>
      </c>
      <c r="K67" s="93"/>
      <c r="L67" s="180"/>
      <c r="M67" s="184"/>
      <c r="N67" s="181">
        <v>3.2399999998372862E-3</v>
      </c>
      <c r="O67" s="187">
        <v>5.2029999999999932E-3</v>
      </c>
    </row>
    <row r="68" spans="1:22" ht="12.75" hidden="1" customHeight="1" outlineLevel="1" x14ac:dyDescent="0.2">
      <c r="A68" s="70" t="str">
        <f>"FRA"&amp;Indexes!A68&amp;"x"</f>
        <v>FRA16x</v>
      </c>
      <c r="B68" s="74"/>
      <c r="C68" s="71"/>
      <c r="D68" s="72">
        <f>_xll.qlIndexFixing(Index6M,Indexes!$J68,TRUE,InterestRatesTrigger)</f>
        <v>2.2800000000327688E-3</v>
      </c>
      <c r="E68" s="76">
        <f>_xll.qlIndexFixing(Index1Y,Indexes!$J68,TRUE,InterestRatesTrigger)</f>
        <v>3.9392634109148821E-3</v>
      </c>
      <c r="G68" s="144"/>
      <c r="H68" s="148"/>
      <c r="I68" s="145">
        <f t="shared" si="8"/>
        <v>-1.1399999998852827E-3</v>
      </c>
      <c r="J68" s="151">
        <f t="shared" si="11"/>
        <v>-1.4113840338440282E-3</v>
      </c>
      <c r="K68" s="93"/>
      <c r="L68" s="180"/>
      <c r="M68" s="184"/>
      <c r="N68" s="181">
        <v>3.4199999999180515E-3</v>
      </c>
      <c r="O68" s="187">
        <v>5.3506474447589103E-3</v>
      </c>
    </row>
    <row r="69" spans="1:22" ht="12.75" hidden="1" customHeight="1" outlineLevel="1" x14ac:dyDescent="0.2">
      <c r="A69" s="70" t="str">
        <f>"FRA"&amp;Indexes!A69&amp;"x"</f>
        <v>FRA17x</v>
      </c>
      <c r="B69" s="74"/>
      <c r="C69" s="71"/>
      <c r="D69" s="72">
        <f>_xll.qlIndexFixing(Index6M,Indexes!$J69,TRUE,InterestRatesTrigger)</f>
        <v>2.3799999998731125E-3</v>
      </c>
      <c r="E69" s="76">
        <f>_xll.qlIndexFixing(Index1Y,Indexes!$J69,TRUE,InterestRatesTrigger)</f>
        <v>4.0741343591977879E-3</v>
      </c>
      <c r="G69" s="144"/>
      <c r="H69" s="148"/>
      <c r="I69" s="145">
        <f t="shared" si="8"/>
        <v>-1.2100000001267733E-3</v>
      </c>
      <c r="J69" s="151">
        <f t="shared" si="11"/>
        <v>-1.4172543403457305E-3</v>
      </c>
      <c r="K69" s="93"/>
      <c r="L69" s="180"/>
      <c r="M69" s="184"/>
      <c r="N69" s="181">
        <v>3.5899999999998858E-3</v>
      </c>
      <c r="O69" s="187">
        <v>5.4913886995435184E-3</v>
      </c>
    </row>
    <row r="70" spans="1:22" ht="12.75" customHeight="1" collapsed="1" x14ac:dyDescent="0.2">
      <c r="A70" s="61" t="str">
        <f>"FRA"&amp;Indexes!A70&amp;"x"</f>
        <v>FRA18x</v>
      </c>
      <c r="B70" s="65"/>
      <c r="C70" s="62"/>
      <c r="D70" s="63">
        <f>_xll.qlIndexFixing(Index6M,Indexes!$J70,TRUE,InterestRatesTrigger)</f>
        <v>2.4799999999998257E-3</v>
      </c>
      <c r="E70" s="75">
        <f>_xll.qlIndexFixing(Index1Y,Indexes!$J70,TRUE,InterestRatesTrigger)</f>
        <v>4.2139999999281468E-3</v>
      </c>
      <c r="G70" s="138"/>
      <c r="H70" s="149"/>
      <c r="I70" s="139">
        <f t="shared" si="8"/>
        <v>-1.2899999999999088E-3</v>
      </c>
      <c r="J70" s="150">
        <f t="shared" si="11"/>
        <v>-1.4480000000719456E-3</v>
      </c>
      <c r="K70" s="93"/>
      <c r="L70" s="174"/>
      <c r="M70" s="185"/>
      <c r="N70" s="175">
        <v>3.7699999999997345E-3</v>
      </c>
      <c r="O70" s="186">
        <v>5.6620000000000923E-3</v>
      </c>
    </row>
    <row r="71" spans="1:22" x14ac:dyDescent="0.2">
      <c r="A71" s="70" t="str">
        <f>Indexes!A71</f>
        <v>1Y</v>
      </c>
      <c r="B71" s="71">
        <f>_xll.qlIndexFixing(Indexes!B71,FixingDate,TRUE,InterestRatesTrigger)</f>
        <v>-4.0552486187786246E-5</v>
      </c>
      <c r="C71" s="71">
        <f>_xll.qlIndexFixing(Indexes!C71,FixingDate,TRUE,InterestRatesTrigger)</f>
        <v>7.9808127988922526E-4</v>
      </c>
      <c r="D71" s="71">
        <f>_xll.qlIndexFixing(Indexes!D71,FixingDate,TRUE,InterestRatesTrigger)</f>
        <v>1.8461208179510274E-3</v>
      </c>
      <c r="E71" s="73">
        <f>_xll.qlIndexFixing(Indexes!E71,FixingDate,TRUE,InterestRatesTrigger)</f>
        <v>3.6446546958289507E-3</v>
      </c>
      <c r="G71" s="165">
        <f t="shared" ref="G71:G134" si="12">B71-L71</f>
        <v>-4.9680248661982404E-4</v>
      </c>
      <c r="H71" s="166">
        <f t="shared" ref="H71:H133" si="13">C71-M71</f>
        <v>-4.5631931864638354E-4</v>
      </c>
      <c r="I71" s="166">
        <f t="shared" ref="I71:I133" si="14">D71-N71</f>
        <v>-9.9085680449827879E-4</v>
      </c>
      <c r="J71" s="167">
        <f t="shared" ref="J71:J133" si="15">E71-O71</f>
        <v>-2.0077758598603624E-3</v>
      </c>
      <c r="K71" s="93"/>
      <c r="L71" s="180">
        <v>4.5625000043203776E-4</v>
      </c>
      <c r="M71" s="184">
        <v>1.2544005985356088E-3</v>
      </c>
      <c r="N71" s="184">
        <v>2.8369776224493061E-3</v>
      </c>
      <c r="O71" s="182">
        <v>5.6524305556893131E-3</v>
      </c>
      <c r="Q71" s="94">
        <f>(D71-C71)*10000</f>
        <v>10.48039538061802</v>
      </c>
      <c r="R71" s="94">
        <f t="shared" ref="R71:R102" si="16">(D71-B71)*10000</f>
        <v>18.866733041388137</v>
      </c>
      <c r="S71" s="94">
        <f>(E71-D71)*10000</f>
        <v>17.985338778779234</v>
      </c>
    </row>
    <row r="72" spans="1:22" hidden="1" outlineLevel="1" x14ac:dyDescent="0.2">
      <c r="A72" s="70" t="str">
        <f>Indexes!A72</f>
        <v>1Y3M</v>
      </c>
      <c r="B72" s="71">
        <f>_xll.qlIndexFixing(Indexes!B72,FixingDate,TRUE,InterestRatesTrigger)</f>
        <v>-5.5213356389406195E-5</v>
      </c>
      <c r="C72" s="71">
        <f>_xll.qlIndexFixing(Indexes!C72,FixingDate,TRUE,InterestRatesTrigger)</f>
        <v>8.04692270001624E-4</v>
      </c>
      <c r="D72" s="71"/>
      <c r="E72" s="73"/>
      <c r="G72" s="165">
        <f t="shared" si="12"/>
        <v>-4.9504462798503847E-4</v>
      </c>
      <c r="H72" s="166">
        <f t="shared" si="13"/>
        <v>-4.4746256005287932E-4</v>
      </c>
      <c r="I72" s="166">
        <f t="shared" si="14"/>
        <v>0</v>
      </c>
      <c r="J72" s="167">
        <f t="shared" si="15"/>
        <v>0</v>
      </c>
      <c r="K72" s="93"/>
      <c r="L72" s="180">
        <v>4.3983127159563223E-4</v>
      </c>
      <c r="M72" s="184">
        <v>1.2521548300545033E-3</v>
      </c>
      <c r="N72" s="184"/>
      <c r="O72" s="182"/>
      <c r="Q72" s="94"/>
      <c r="R72" s="94"/>
      <c r="S72" s="94"/>
    </row>
    <row r="73" spans="1:22" hidden="1" outlineLevel="1" x14ac:dyDescent="0.2">
      <c r="A73" s="70" t="str">
        <f>Indexes!A73</f>
        <v>1Y6M</v>
      </c>
      <c r="B73" s="71">
        <f>_xll.qlIndexFixing(Indexes!B73,FixingDate,TRUE,InterestRatesTrigger)</f>
        <v>-4.0822639243786116E-5</v>
      </c>
      <c r="C73" s="71">
        <f>_xll.qlIndexFixing(Indexes!C73,FixingDate,TRUE,InterestRatesTrigger)</f>
        <v>8.3416205704828412E-4</v>
      </c>
      <c r="D73" s="71">
        <f>_xll.qlIndexFixing(Indexes!D73,FixingDate,TRUE,InterestRatesTrigger)</f>
        <v>1.8979514302532065E-3</v>
      </c>
      <c r="E73" s="73"/>
      <c r="G73" s="165">
        <f t="shared" si="12"/>
        <v>-5.0897539445909044E-4</v>
      </c>
      <c r="H73" s="166">
        <f t="shared" si="13"/>
        <v>-4.76860480682095E-4</v>
      </c>
      <c r="I73" s="166">
        <f t="shared" si="14"/>
        <v>-9.3723230512878994E-4</v>
      </c>
      <c r="J73" s="167">
        <f t="shared" si="15"/>
        <v>0</v>
      </c>
      <c r="K73" s="93"/>
      <c r="L73" s="180">
        <v>4.681527552153043E-4</v>
      </c>
      <c r="M73" s="184">
        <v>1.3110225377303791E-3</v>
      </c>
      <c r="N73" s="184">
        <v>2.8351837353819964E-3</v>
      </c>
      <c r="O73" s="182"/>
      <c r="Q73" s="94">
        <f t="shared" ref="Q73:Q135" si="17">(D73-C73)*10000</f>
        <v>10.637893732049223</v>
      </c>
      <c r="R73" s="94">
        <f t="shared" si="16"/>
        <v>19.387740694969928</v>
      </c>
      <c r="S73" s="94"/>
    </row>
    <row r="74" spans="1:22" hidden="1" outlineLevel="1" x14ac:dyDescent="0.2">
      <c r="A74" s="70" t="str">
        <f>Indexes!A74</f>
        <v>1Y9M</v>
      </c>
      <c r="B74" s="71">
        <f>_xll.qlIndexFixing(Indexes!B74,FixingDate,TRUE,InterestRatesTrigger)</f>
        <v>-1.7454828614477751E-6</v>
      </c>
      <c r="C74" s="71">
        <f>_xll.qlIndexFixing(Indexes!C74,FixingDate,TRUE,InterestRatesTrigger)</f>
        <v>8.8495491011790159E-4</v>
      </c>
      <c r="D74" s="71"/>
      <c r="E74" s="73"/>
      <c r="G74" s="165">
        <f t="shared" si="12"/>
        <v>-5.4234213661549216E-4</v>
      </c>
      <c r="H74" s="166">
        <f t="shared" si="13"/>
        <v>-5.4730209643561671E-4</v>
      </c>
      <c r="I74" s="166">
        <f t="shared" si="14"/>
        <v>0</v>
      </c>
      <c r="J74" s="167">
        <f t="shared" si="15"/>
        <v>0</v>
      </c>
      <c r="K74" s="93"/>
      <c r="L74" s="180">
        <v>5.4059665375404435E-4</v>
      </c>
      <c r="M74" s="184">
        <v>1.4322570065535183E-3</v>
      </c>
      <c r="N74" s="184"/>
      <c r="O74" s="182"/>
      <c r="Q74" s="94"/>
      <c r="R74" s="94"/>
      <c r="S74" s="94"/>
    </row>
    <row r="75" spans="1:22" collapsed="1" x14ac:dyDescent="0.2">
      <c r="A75" s="70" t="str">
        <f>Indexes!A75</f>
        <v>2Y</v>
      </c>
      <c r="B75" s="71">
        <f>_xll.qlIndexFixing(Indexes!B75,FixingDate,TRUE,InterestRatesTrigger)</f>
        <v>5.9999999743373095E-5</v>
      </c>
      <c r="C75" s="71">
        <f>_xll.qlIndexFixing(Indexes!C75,FixingDate,TRUE,InterestRatesTrigger)</f>
        <v>9.6080047654632122E-4</v>
      </c>
      <c r="D75" s="71">
        <f>_xll.qlIndexFixing(Indexes!D75,FixingDate,TRUE,InterestRatesTrigger)</f>
        <v>2.0547902390189964E-3</v>
      </c>
      <c r="E75" s="73">
        <f>_xll.qlIndexFixing(Indexes!E75,FixingDate,TRUE,InterestRatesTrigger)</f>
        <v>3.6254593186082471E-3</v>
      </c>
      <c r="G75" s="165">
        <f t="shared" si="12"/>
        <v>-5.9000000020113688E-4</v>
      </c>
      <c r="H75" s="166">
        <f t="shared" si="13"/>
        <v>-6.2909051421607804E-4</v>
      </c>
      <c r="I75" s="166">
        <f t="shared" si="14"/>
        <v>-1.0299095237658253E-3</v>
      </c>
      <c r="J75" s="167">
        <f t="shared" si="15"/>
        <v>-1.6899034909885675E-3</v>
      </c>
      <c r="K75" s="93"/>
      <c r="L75" s="180">
        <v>6.4999999994450996E-4</v>
      </c>
      <c r="M75" s="184">
        <v>1.5898909907623993E-3</v>
      </c>
      <c r="N75" s="184">
        <v>3.0846997627848216E-3</v>
      </c>
      <c r="O75" s="182">
        <v>5.3153628095968146E-3</v>
      </c>
      <c r="Q75" s="94">
        <f t="shared" si="17"/>
        <v>10.939897624726751</v>
      </c>
      <c r="R75" s="94">
        <f t="shared" si="16"/>
        <v>19.947902392756234</v>
      </c>
      <c r="S75" s="94">
        <f>(E75-D75)*10000</f>
        <v>15.706690795892507</v>
      </c>
    </row>
    <row r="76" spans="1:22" hidden="1" outlineLevel="1" x14ac:dyDescent="0.2">
      <c r="A76" s="70" t="str">
        <f>Indexes!A76</f>
        <v>2Y3M</v>
      </c>
      <c r="B76" s="71">
        <f>_xll.qlIndexFixing(Indexes!B76,FixingDate,TRUE,InterestRatesTrigger)</f>
        <v>1.433391739806173E-4</v>
      </c>
      <c r="C76" s="71">
        <f>_xll.qlIndexFixing(Indexes!C76,FixingDate,TRUE,InterestRatesTrigger)</f>
        <v>1.0594192622990974E-3</v>
      </c>
      <c r="D76" s="71"/>
      <c r="E76" s="73"/>
      <c r="G76" s="165">
        <f t="shared" si="12"/>
        <v>-6.4996945439033159E-4</v>
      </c>
      <c r="H76" s="166">
        <f t="shared" si="13"/>
        <v>-7.0826279483873051E-4</v>
      </c>
      <c r="I76" s="166">
        <f t="shared" si="14"/>
        <v>0</v>
      </c>
      <c r="J76" s="167">
        <f t="shared" si="15"/>
        <v>0</v>
      </c>
      <c r="K76" s="93"/>
      <c r="L76" s="180">
        <v>7.9330862837094886E-4</v>
      </c>
      <c r="M76" s="184">
        <v>1.7676820571378279E-3</v>
      </c>
      <c r="N76" s="184"/>
      <c r="O76" s="182"/>
      <c r="Q76" s="94"/>
      <c r="R76" s="94"/>
      <c r="S76" s="94"/>
    </row>
    <row r="77" spans="1:22" hidden="1" outlineLevel="1" x14ac:dyDescent="0.2">
      <c r="A77" s="70" t="str">
        <f>Indexes!A77</f>
        <v>2Y6M</v>
      </c>
      <c r="B77" s="71">
        <f>_xll.qlIndexFixing(Indexes!B77,FixingDate,TRUE,InterestRatesTrigger)</f>
        <v>2.4847340821994323E-4</v>
      </c>
      <c r="C77" s="71">
        <f>_xll.qlIndexFixing(Indexes!C77,FixingDate,TRUE,InterestRatesTrigger)</f>
        <v>1.1813002461767354E-3</v>
      </c>
      <c r="D77" s="71">
        <f>_xll.qlIndexFixing(Indexes!D77,FixingDate,TRUE,InterestRatesTrigger)</f>
        <v>2.3000629827647544E-3</v>
      </c>
      <c r="E77" s="73"/>
      <c r="G77" s="165">
        <f t="shared" si="12"/>
        <v>-7.3298307617079774E-4</v>
      </c>
      <c r="H77" s="166">
        <f t="shared" si="13"/>
        <v>-8.0187109332684409E-4</v>
      </c>
      <c r="I77" s="166">
        <f t="shared" si="14"/>
        <v>-1.1351892511223291E-3</v>
      </c>
      <c r="J77" s="167">
        <f t="shared" si="15"/>
        <v>0</v>
      </c>
      <c r="K77" s="93"/>
      <c r="L77" s="180">
        <v>9.8145648439074097E-4</v>
      </c>
      <c r="M77" s="184">
        <v>1.9831713395035795E-3</v>
      </c>
      <c r="N77" s="184">
        <v>3.4352522338870835E-3</v>
      </c>
      <c r="O77" s="182"/>
      <c r="Q77" s="94">
        <f t="shared" si="17"/>
        <v>11.187627365880191</v>
      </c>
      <c r="R77" s="94">
        <f t="shared" si="16"/>
        <v>20.515895745448113</v>
      </c>
      <c r="S77" s="94"/>
    </row>
    <row r="78" spans="1:22" hidden="1" outlineLevel="1" x14ac:dyDescent="0.2">
      <c r="A78" s="70" t="str">
        <f>Indexes!A78</f>
        <v>2Y9M</v>
      </c>
      <c r="B78" s="71">
        <f>_xll.qlIndexFixing(Indexes!B78,FixingDate,TRUE,InterestRatesTrigger)</f>
        <v>3.7676366100453779E-4</v>
      </c>
      <c r="C78" s="71">
        <f>_xll.qlIndexFixing(Indexes!C78,FixingDate,TRUE,InterestRatesTrigger)</f>
        <v>1.3314227571958779E-3</v>
      </c>
      <c r="D78" s="71"/>
      <c r="E78" s="73"/>
      <c r="G78" s="165">
        <f t="shared" si="12"/>
        <v>-8.4120361580716893E-4</v>
      </c>
      <c r="H78" s="166">
        <f t="shared" si="13"/>
        <v>-9.0978247004351045E-4</v>
      </c>
      <c r="I78" s="166">
        <f t="shared" si="14"/>
        <v>0</v>
      </c>
      <c r="J78" s="167">
        <f t="shared" si="15"/>
        <v>0</v>
      </c>
      <c r="K78" s="93"/>
      <c r="L78" s="180">
        <v>1.2179672768117067E-3</v>
      </c>
      <c r="M78" s="184">
        <v>2.2412052272393884E-3</v>
      </c>
      <c r="N78" s="184"/>
      <c r="O78" s="182"/>
      <c r="Q78" s="94"/>
      <c r="R78" s="94"/>
      <c r="S78" s="94"/>
    </row>
    <row r="79" spans="1:22" collapsed="1" x14ac:dyDescent="0.2">
      <c r="A79" s="70" t="str">
        <f>Indexes!A79</f>
        <v>3Y</v>
      </c>
      <c r="B79" s="71">
        <f>_xll.qlIndexFixing(Indexes!B79,FixingDate,TRUE,InterestRatesTrigger)</f>
        <v>5.3000000029386116E-4</v>
      </c>
      <c r="C79" s="71">
        <f>_xll.qlIndexFixing(Indexes!C79,FixingDate,TRUE,InterestRatesTrigger)</f>
        <v>1.5100000000004407E-3</v>
      </c>
      <c r="D79" s="72">
        <f>_xll.qlIndexFixing(Indexes!D79,FixingDate,TRUE,InterestRatesTrigger)</f>
        <v>2.6699999999987103E-3</v>
      </c>
      <c r="E79" s="73">
        <f>_xll.qlIndexFixing(Indexes!E79,FixingDate,TRUE,InterestRatesTrigger)</f>
        <v>4.2000000000000206E-3</v>
      </c>
      <c r="G79" s="165">
        <f t="shared" si="12"/>
        <v>-9.5999999970651072E-4</v>
      </c>
      <c r="H79" s="166">
        <f t="shared" si="13"/>
        <v>-1.0200000000471893E-3</v>
      </c>
      <c r="I79" s="166">
        <f t="shared" si="14"/>
        <v>-1.3600000002006916E-3</v>
      </c>
      <c r="J79" s="167">
        <f t="shared" si="15"/>
        <v>-1.7100000001747757E-3</v>
      </c>
      <c r="K79" s="93">
        <v>3</v>
      </c>
      <c r="L79" s="180">
        <v>1.4900000000003719E-3</v>
      </c>
      <c r="M79" s="184">
        <v>2.53000000004763E-3</v>
      </c>
      <c r="N79" s="184">
        <v>4.0300000001994019E-3</v>
      </c>
      <c r="O79" s="182">
        <v>5.9100000001747963E-3</v>
      </c>
      <c r="Q79" s="94">
        <f t="shared" si="17"/>
        <v>11.599999999982696</v>
      </c>
      <c r="R79" s="94">
        <f t="shared" si="16"/>
        <v>21.399999997048493</v>
      </c>
      <c r="S79" s="94">
        <f>(E79-D79)*10000</f>
        <v>15.300000000013103</v>
      </c>
      <c r="U79" s="95" t="s">
        <v>104</v>
      </c>
      <c r="V79" s="96" t="s">
        <v>72</v>
      </c>
    </row>
    <row r="80" spans="1:22" x14ac:dyDescent="0.2">
      <c r="A80" s="70" t="str">
        <f>Indexes!A80</f>
        <v>4Y</v>
      </c>
      <c r="B80" s="71">
        <f>_xll.qlIndexFixing(Indexes!B80,FixingDate,TRUE,InterestRatesTrigger)</f>
        <v>1.359999999999953E-3</v>
      </c>
      <c r="C80" s="71">
        <f>_xll.qlIndexFixing(Indexes!C80,FixingDate,TRUE,InterestRatesTrigger)</f>
        <v>2.450000000002749E-3</v>
      </c>
      <c r="D80" s="72">
        <f>_xll.qlIndexFixing(Indexes!D80,FixingDate,TRUE,InterestRatesTrigger)</f>
        <v>3.6699999999957513E-3</v>
      </c>
      <c r="E80" s="73">
        <f>_xll.qlIndexFixing(Indexes!E80,FixingDate,TRUE,InterestRatesTrigger)</f>
        <v>5.2000000000001099E-3</v>
      </c>
      <c r="G80" s="165">
        <f t="shared" si="12"/>
        <v>-1.5899999999927172E-3</v>
      </c>
      <c r="H80" s="166">
        <f t="shared" si="13"/>
        <v>-1.6000000000222533E-3</v>
      </c>
      <c r="I80" s="166">
        <f t="shared" si="14"/>
        <v>-1.8700000001074142E-3</v>
      </c>
      <c r="J80" s="167">
        <f t="shared" si="15"/>
        <v>-2.039999998781742E-3</v>
      </c>
      <c r="K80" s="93">
        <v>4</v>
      </c>
      <c r="L80" s="180">
        <v>2.9499999999926703E-3</v>
      </c>
      <c r="M80" s="184">
        <v>4.0500000000250024E-3</v>
      </c>
      <c r="N80" s="184">
        <v>5.5400000001031655E-3</v>
      </c>
      <c r="O80" s="182">
        <v>7.2399999987818519E-3</v>
      </c>
      <c r="Q80" s="94">
        <f t="shared" si="17"/>
        <v>12.199999999930023</v>
      </c>
      <c r="R80" s="94">
        <f t="shared" si="16"/>
        <v>23.09999999995798</v>
      </c>
      <c r="S80" s="94">
        <f>(E80-D80)*10000</f>
        <v>15.300000000043585</v>
      </c>
      <c r="U80" s="95" t="s">
        <v>102</v>
      </c>
      <c r="V80" s="97">
        <f>_xll.qlCalendarAdvance(Calendar,SettlementDate,Start,"following")</f>
        <v>41894</v>
      </c>
    </row>
    <row r="81" spans="1:22" x14ac:dyDescent="0.2">
      <c r="A81" s="70" t="str">
        <f>Indexes!A81</f>
        <v>5Y</v>
      </c>
      <c r="B81" s="71">
        <f>_xll.qlIndexFixing(Indexes!B81,FixingDate,TRUE,InterestRatesTrigger)</f>
        <v>2.4900000000004944E-3</v>
      </c>
      <c r="C81" s="71">
        <f>_xll.qlIndexFixing(Indexes!C81,FixingDate,TRUE,InterestRatesTrigger)</f>
        <v>3.6500000000071588E-3</v>
      </c>
      <c r="D81" s="72">
        <f>_xll.qlIndexFixing(Indexes!D81,FixingDate,TRUE,InterestRatesTrigger)</f>
        <v>4.9099999999765061E-3</v>
      </c>
      <c r="E81" s="73">
        <f>_xll.qlIndexFixing(Indexes!E81,FixingDate,TRUE,InterestRatesTrigger)</f>
        <v>6.4400000000000212E-3</v>
      </c>
      <c r="G81" s="165">
        <f t="shared" si="12"/>
        <v>-2.2800000000117527E-3</v>
      </c>
      <c r="H81" s="166">
        <f t="shared" si="13"/>
        <v>-2.2600000000091124E-3</v>
      </c>
      <c r="I81" s="166">
        <f t="shared" si="14"/>
        <v>-2.4699999995097593E-3</v>
      </c>
      <c r="J81" s="167">
        <f t="shared" si="15"/>
        <v>-2.4999999999999892E-3</v>
      </c>
      <c r="K81" s="93">
        <v>5</v>
      </c>
      <c r="L81" s="180">
        <v>4.7700000000122471E-3</v>
      </c>
      <c r="M81" s="184">
        <v>5.9100000000162712E-3</v>
      </c>
      <c r="N81" s="184">
        <v>7.3799999994862654E-3</v>
      </c>
      <c r="O81" s="182">
        <v>8.9400000000000104E-3</v>
      </c>
      <c r="Q81" s="94">
        <f t="shared" si="17"/>
        <v>12.599999999693473</v>
      </c>
      <c r="R81" s="94">
        <f t="shared" si="16"/>
        <v>24.199999999760117</v>
      </c>
      <c r="S81" s="94">
        <f>(E81-D81)*10000</f>
        <v>15.300000000235151</v>
      </c>
      <c r="U81" s="95" t="s">
        <v>103</v>
      </c>
      <c r="V81" s="97">
        <f>_xll.qlInterestRateIndexFixingDate(Indexes!B71,EffectiveDate)</f>
        <v>41892</v>
      </c>
    </row>
    <row r="82" spans="1:22" x14ac:dyDescent="0.2">
      <c r="A82" s="70" t="str">
        <f>Indexes!A82</f>
        <v>6Y</v>
      </c>
      <c r="B82" s="71">
        <f>_xll.qlIndexFixing(Indexes!B82,FixingDate,TRUE,InterestRatesTrigger)</f>
        <v>3.8399999998633607E-3</v>
      </c>
      <c r="C82" s="71">
        <f>_xll.qlIndexFixing(Indexes!C82,FixingDate,TRUE,InterestRatesTrigger)</f>
        <v>5.0300000000133502E-3</v>
      </c>
      <c r="D82" s="72">
        <f>_xll.qlIndexFixing(Indexes!D82,FixingDate,TRUE,InterestRatesTrigger)</f>
        <v>6.3099999999767144E-3</v>
      </c>
      <c r="E82" s="73">
        <f>_xll.qlIndexFixing(Indexes!E82,FixingDate,TRUE,InterestRatesTrigger)</f>
        <v>7.8300000000000834E-3</v>
      </c>
      <c r="G82" s="165">
        <f t="shared" si="12"/>
        <v>-2.8700000000406413E-3</v>
      </c>
      <c r="H82" s="166">
        <f t="shared" si="13"/>
        <v>-2.8200000000382676E-3</v>
      </c>
      <c r="I82" s="166">
        <f t="shared" si="14"/>
        <v>-2.9899999999444572E-3</v>
      </c>
      <c r="J82" s="167">
        <f t="shared" si="15"/>
        <v>-2.8999999999999321E-3</v>
      </c>
      <c r="K82" s="93">
        <v>6</v>
      </c>
      <c r="L82" s="180">
        <v>6.709999999904002E-3</v>
      </c>
      <c r="M82" s="184">
        <v>7.8500000000516178E-3</v>
      </c>
      <c r="N82" s="184">
        <v>9.2999999999211717E-3</v>
      </c>
      <c r="O82" s="182">
        <v>1.0730000000000016E-2</v>
      </c>
      <c r="Q82" s="94">
        <f t="shared" si="17"/>
        <v>12.799999999633643</v>
      </c>
      <c r="R82" s="94">
        <f t="shared" si="16"/>
        <v>24.700000001133539</v>
      </c>
      <c r="S82" s="94">
        <f t="shared" ref="S82:S135" si="18">(E82-D82)*10000</f>
        <v>15.20000000023369</v>
      </c>
    </row>
    <row r="83" spans="1:22" x14ac:dyDescent="0.2">
      <c r="A83" s="70" t="str">
        <f>Indexes!A83</f>
        <v>7Y</v>
      </c>
      <c r="B83" s="71">
        <f>_xll.qlIndexFixing(Indexes!B83,FixingDate,TRUE,InterestRatesTrigger)</f>
        <v>5.3400000000014929E-3</v>
      </c>
      <c r="C83" s="71">
        <f>_xll.qlIndexFixing(Indexes!C83,FixingDate,TRUE,InterestRatesTrigger)</f>
        <v>6.5600000000180896E-3</v>
      </c>
      <c r="D83" s="72">
        <f>_xll.qlIndexFixing(Indexes!D83,FixingDate,TRUE,InterestRatesTrigger)</f>
        <v>7.8399999999691702E-3</v>
      </c>
      <c r="E83" s="73">
        <f>_xll.qlIndexFixing(Indexes!E83,FixingDate,TRUE,InterestRatesTrigger)</f>
        <v>9.3500000000000492E-3</v>
      </c>
      <c r="G83" s="165">
        <f t="shared" si="12"/>
        <v>-3.2200000002896596E-3</v>
      </c>
      <c r="H83" s="166">
        <f t="shared" si="13"/>
        <v>-3.1399999998730048E-3</v>
      </c>
      <c r="I83" s="166">
        <f t="shared" si="14"/>
        <v>-3.28000000030086E-3</v>
      </c>
      <c r="J83" s="167">
        <f t="shared" si="15"/>
        <v>-3.110000000046154E-3</v>
      </c>
      <c r="K83" s="93">
        <v>7</v>
      </c>
      <c r="L83" s="180">
        <v>8.5600000002911524E-3</v>
      </c>
      <c r="M83" s="184">
        <v>9.6999999998910943E-3</v>
      </c>
      <c r="N83" s="184">
        <v>1.112000000027003E-2</v>
      </c>
      <c r="O83" s="182">
        <v>1.2460000000046203E-2</v>
      </c>
      <c r="P83" s="98"/>
      <c r="Q83" s="94">
        <f t="shared" si="17"/>
        <v>12.799999999510806</v>
      </c>
      <c r="R83" s="94">
        <f t="shared" si="16"/>
        <v>24.999999999676774</v>
      </c>
      <c r="S83" s="94">
        <f t="shared" si="18"/>
        <v>15.100000000308791</v>
      </c>
    </row>
    <row r="84" spans="1:22" x14ac:dyDescent="0.2">
      <c r="A84" s="70" t="str">
        <f>Indexes!A84</f>
        <v>8Y</v>
      </c>
      <c r="B84" s="71">
        <f>_xll.qlIndexFixing(Indexes!B84,FixingDate,TRUE,InterestRatesTrigger)</f>
        <v>6.8500000000020524E-3</v>
      </c>
      <c r="C84" s="71">
        <f>_xll.qlIndexFixing(Indexes!C84,FixingDate,TRUE,InterestRatesTrigger)</f>
        <v>8.0900000000242896E-3</v>
      </c>
      <c r="D84" s="72">
        <f>_xll.qlIndexFixing(Indexes!D84,FixingDate,TRUE,InterestRatesTrigger)</f>
        <v>9.3499999999673167E-3</v>
      </c>
      <c r="E84" s="73">
        <f>_xll.qlIndexFixing(Indexes!E84,FixingDate,TRUE,InterestRatesTrigger)</f>
        <v>1.0840000000000037E-2</v>
      </c>
      <c r="G84" s="165">
        <f t="shared" si="12"/>
        <v>-3.4100000000869771E-3</v>
      </c>
      <c r="H84" s="166">
        <f t="shared" si="13"/>
        <v>-3.309999999895433E-3</v>
      </c>
      <c r="I84" s="166">
        <f t="shared" si="14"/>
        <v>-3.4300000001455059E-3</v>
      </c>
      <c r="J84" s="167">
        <f t="shared" si="15"/>
        <v>-3.2000000000245131E-3</v>
      </c>
      <c r="K84" s="93">
        <v>8</v>
      </c>
      <c r="L84" s="180">
        <v>1.026000000008903E-2</v>
      </c>
      <c r="M84" s="184">
        <v>1.1399999999919723E-2</v>
      </c>
      <c r="N84" s="184">
        <v>1.2780000000112823E-2</v>
      </c>
      <c r="O84" s="182">
        <v>1.404000000002455E-2</v>
      </c>
      <c r="P84" s="98"/>
      <c r="Q84" s="94">
        <f t="shared" si="17"/>
        <v>12.599999999430272</v>
      </c>
      <c r="R84" s="94">
        <f t="shared" si="16"/>
        <v>24.999999999652644</v>
      </c>
      <c r="S84" s="94">
        <f t="shared" si="18"/>
        <v>14.900000000327204</v>
      </c>
    </row>
    <row r="85" spans="1:22" x14ac:dyDescent="0.2">
      <c r="A85" s="70" t="str">
        <f>Indexes!A85</f>
        <v>9Y</v>
      </c>
      <c r="B85" s="71">
        <f>_xll.qlIndexFixing(Indexes!B85,FixingDate,TRUE,InterestRatesTrigger)</f>
        <v>8.3000000000003436E-3</v>
      </c>
      <c r="C85" s="71">
        <f>_xll.qlIndexFixing(Indexes!C85,FixingDate,TRUE,InterestRatesTrigger)</f>
        <v>9.5500000000043068E-3</v>
      </c>
      <c r="D85" s="72">
        <f>_xll.qlIndexFixing(Indexes!D85,FixingDate,TRUE,InterestRatesTrigger)</f>
        <v>1.077999999996967E-2</v>
      </c>
      <c r="E85" s="73">
        <f>_xll.qlIndexFixing(Indexes!E85,FixingDate,TRUE,InterestRatesTrigger)</f>
        <v>1.2240000000000039E-2</v>
      </c>
      <c r="G85" s="165">
        <f t="shared" si="12"/>
        <v>-3.4900000001170627E-3</v>
      </c>
      <c r="H85" s="166">
        <f t="shared" si="13"/>
        <v>-3.380000000293237E-3</v>
      </c>
      <c r="I85" s="166">
        <f t="shared" si="14"/>
        <v>-3.4900000000077942E-3</v>
      </c>
      <c r="J85" s="167">
        <f t="shared" si="15"/>
        <v>-3.2300000000118397E-3</v>
      </c>
      <c r="K85" s="93">
        <v>9</v>
      </c>
      <c r="L85" s="180">
        <v>1.1790000000117406E-2</v>
      </c>
      <c r="M85" s="184">
        <v>1.2930000000297544E-2</v>
      </c>
      <c r="N85" s="184">
        <v>1.4269999999977464E-2</v>
      </c>
      <c r="O85" s="182">
        <v>1.5470000000011879E-2</v>
      </c>
      <c r="P85" s="98"/>
      <c r="Q85" s="94">
        <f t="shared" si="17"/>
        <v>12.299999999653629</v>
      </c>
      <c r="R85" s="94">
        <f t="shared" si="16"/>
        <v>24.799999999693263</v>
      </c>
      <c r="S85" s="94">
        <f t="shared" si="18"/>
        <v>14.600000000303693</v>
      </c>
    </row>
    <row r="86" spans="1:22" x14ac:dyDescent="0.2">
      <c r="A86" s="70" t="str">
        <f>Indexes!A86</f>
        <v>10Y</v>
      </c>
      <c r="B86" s="71">
        <f>_xll.qlIndexFixing(Indexes!B86,FixingDate,TRUE,InterestRatesTrigger)</f>
        <v>9.6099999999589517E-3</v>
      </c>
      <c r="C86" s="71">
        <f>_xll.qlIndexFixing(Indexes!C86,FixingDate,TRUE,InterestRatesTrigger)</f>
        <v>1.0860000000009296E-2</v>
      </c>
      <c r="D86" s="72">
        <f>_xll.qlIndexFixing(Indexes!D86,FixingDate,TRUE,InterestRatesTrigger)</f>
        <v>1.2059999999990039E-2</v>
      </c>
      <c r="E86" s="73">
        <f>_xll.qlIndexFixing(Indexes!E86,FixingDate,TRUE,InterestRatesTrigger)</f>
        <v>1.3480000000000035E-2</v>
      </c>
      <c r="G86" s="165">
        <f t="shared" si="12"/>
        <v>-3.5299999999928115E-3</v>
      </c>
      <c r="H86" s="166">
        <f t="shared" si="13"/>
        <v>-3.4200000000942817E-3</v>
      </c>
      <c r="I86" s="166">
        <f t="shared" si="14"/>
        <v>-3.5200000000545004E-3</v>
      </c>
      <c r="J86" s="167">
        <f t="shared" si="15"/>
        <v>-3.2500000000047647E-3</v>
      </c>
      <c r="K86" s="93">
        <v>10</v>
      </c>
      <c r="L86" s="180">
        <v>1.3139999999951763E-2</v>
      </c>
      <c r="M86" s="184">
        <v>1.4280000000103578E-2</v>
      </c>
      <c r="N86" s="184">
        <v>1.5580000000044539E-2</v>
      </c>
      <c r="O86" s="182">
        <v>1.67300000000048E-2</v>
      </c>
      <c r="P86" s="98"/>
      <c r="Q86" s="94">
        <f t="shared" si="17"/>
        <v>11.999999999807425</v>
      </c>
      <c r="R86" s="94">
        <f t="shared" si="16"/>
        <v>24.50000000031087</v>
      </c>
      <c r="S86" s="94">
        <f t="shared" si="18"/>
        <v>14.200000000099966</v>
      </c>
    </row>
    <row r="87" spans="1:22" hidden="1" outlineLevel="1" x14ac:dyDescent="0.2">
      <c r="A87" s="70" t="str">
        <f>Indexes!A87</f>
        <v>11Y</v>
      </c>
      <c r="B87" s="71">
        <f>_xll.qlIndexFixing(Indexes!B87,FixingDate,TRUE,InterestRatesTrigger)</f>
        <v>1.0778627084529665E-2</v>
      </c>
      <c r="C87" s="71">
        <f>_xll.qlIndexFixing(Indexes!C87,FixingDate,TRUE,InterestRatesTrigger)</f>
        <v>1.2026815814363372E-2</v>
      </c>
      <c r="D87" s="72">
        <f>_xll.qlIndexFixing(Indexes!D87,FixingDate,TRUE,InterestRatesTrigger)</f>
        <v>1.318548092686073E-2</v>
      </c>
      <c r="E87" s="73">
        <f>_xll.qlIndexFixing(Indexes!E87,FixingDate,TRUE,InterestRatesTrigger)</f>
        <v>1.4561872918416313E-2</v>
      </c>
      <c r="G87" s="165">
        <f t="shared" si="12"/>
        <v>-3.6013729155082181E-3</v>
      </c>
      <c r="H87" s="166">
        <f t="shared" si="13"/>
        <v>-3.4901604755328448E-3</v>
      </c>
      <c r="I87" s="166">
        <f t="shared" si="14"/>
        <v>-3.5945190730711507E-3</v>
      </c>
      <c r="J87" s="167">
        <f t="shared" si="15"/>
        <v>-3.3312039296570419E-3</v>
      </c>
      <c r="K87" s="93">
        <v>11</v>
      </c>
      <c r="L87" s="180">
        <v>1.4380000000037883E-2</v>
      </c>
      <c r="M87" s="184">
        <v>1.5516976289896216E-2</v>
      </c>
      <c r="N87" s="184">
        <v>1.6779999999931881E-2</v>
      </c>
      <c r="O87" s="182">
        <v>1.7893076848073355E-2</v>
      </c>
      <c r="P87" s="98"/>
      <c r="Q87" s="94">
        <f t="shared" si="17"/>
        <v>11.586651124973583</v>
      </c>
      <c r="R87" s="94">
        <f t="shared" si="16"/>
        <v>24.068538423310649</v>
      </c>
      <c r="S87" s="94">
        <f t="shared" si="18"/>
        <v>13.763919915555835</v>
      </c>
    </row>
    <row r="88" spans="1:22" collapsed="1" x14ac:dyDescent="0.2">
      <c r="A88" s="70" t="str">
        <f>Indexes!A88</f>
        <v>12Y</v>
      </c>
      <c r="B88" s="71">
        <f>_xll.qlIndexFixing(Indexes!B88,FixingDate,TRUE,InterestRatesTrigger)</f>
        <v>1.1829999999942845E-2</v>
      </c>
      <c r="C88" s="71">
        <f>_xll.qlIndexFixing(Indexes!C88,FixingDate,TRUE,InterestRatesTrigger)</f>
        <v>1.3070000000024588E-2</v>
      </c>
      <c r="D88" s="72">
        <f>_xll.qlIndexFixing(Indexes!D88,FixingDate,TRUE,InterestRatesTrigger)</f>
        <v>1.4179999999960634E-2</v>
      </c>
      <c r="E88" s="73">
        <f>_xll.qlIndexFixing(Indexes!E88,FixingDate,TRUE,InterestRatesTrigger)</f>
        <v>1.5510000000001039E-2</v>
      </c>
      <c r="G88" s="165">
        <f t="shared" si="12"/>
        <v>-3.6899999999739103E-3</v>
      </c>
      <c r="H88" s="166">
        <f t="shared" si="13"/>
        <v>-3.5699999999838378E-3</v>
      </c>
      <c r="I88" s="166">
        <f t="shared" si="14"/>
        <v>-3.6800000000894034E-3</v>
      </c>
      <c r="J88" s="167">
        <f t="shared" si="15"/>
        <v>-3.4299999999962607E-3</v>
      </c>
      <c r="K88" s="93">
        <v>12</v>
      </c>
      <c r="L88" s="180">
        <v>1.5519999999916755E-2</v>
      </c>
      <c r="M88" s="184">
        <v>1.6640000000008426E-2</v>
      </c>
      <c r="N88" s="184">
        <v>1.7860000000050037E-2</v>
      </c>
      <c r="O88" s="182">
        <v>1.8939999999997299E-2</v>
      </c>
      <c r="P88" s="98"/>
      <c r="Q88" s="94">
        <f t="shared" si="17"/>
        <v>11.099999999360458</v>
      </c>
      <c r="R88" s="94">
        <f t="shared" si="16"/>
        <v>23.500000000177891</v>
      </c>
      <c r="S88" s="94">
        <f t="shared" si="18"/>
        <v>13.300000000404047</v>
      </c>
    </row>
    <row r="89" spans="1:22" hidden="1" outlineLevel="1" x14ac:dyDescent="0.2">
      <c r="A89" s="70" t="str">
        <f>Indexes!A89</f>
        <v>13Y</v>
      </c>
      <c r="B89" s="71">
        <f>_xll.qlIndexFixing(Indexes!B89,FixingDate,TRUE,InterestRatesTrigger)</f>
        <v>1.2756758916290079E-2</v>
      </c>
      <c r="C89" s="71">
        <f>_xll.qlIndexFixing(Indexes!C89,FixingDate,TRUE,InterestRatesTrigger)</f>
        <v>1.3977922812979942E-2</v>
      </c>
      <c r="D89" s="72">
        <f>_xll.qlIndexFixing(Indexes!D89,FixingDate,TRUE,InterestRatesTrigger)</f>
        <v>1.5038595481090185E-2</v>
      </c>
      <c r="E89" s="73">
        <f>_xll.qlIndexFixing(Indexes!E89,FixingDate,TRUE,InterestRatesTrigger)</f>
        <v>1.6319909829347889E-2</v>
      </c>
      <c r="G89" s="165">
        <f t="shared" si="12"/>
        <v>-3.7570646018993542E-3</v>
      </c>
      <c r="H89" s="166">
        <f t="shared" si="13"/>
        <v>-3.6409073253237233E-3</v>
      </c>
      <c r="I89" s="166">
        <f t="shared" si="14"/>
        <v>-3.7614045188479588E-3</v>
      </c>
      <c r="J89" s="167">
        <f t="shared" si="15"/>
        <v>-3.5062831591341562E-3</v>
      </c>
      <c r="K89" s="93">
        <v>13</v>
      </c>
      <c r="L89" s="180">
        <v>1.6513823518189433E-2</v>
      </c>
      <c r="M89" s="184">
        <v>1.7618830138303666E-2</v>
      </c>
      <c r="N89" s="184">
        <v>1.8799999999938144E-2</v>
      </c>
      <c r="O89" s="182">
        <v>1.9826192988482046E-2</v>
      </c>
      <c r="P89" s="98"/>
      <c r="Q89" s="94">
        <f t="shared" si="17"/>
        <v>10.606726681102428</v>
      </c>
      <c r="R89" s="94">
        <f t="shared" si="16"/>
        <v>22.818365648001066</v>
      </c>
      <c r="S89" s="94">
        <f t="shared" si="18"/>
        <v>12.813143482577043</v>
      </c>
    </row>
    <row r="90" spans="1:22" hidden="1" outlineLevel="1" x14ac:dyDescent="0.2">
      <c r="A90" s="70" t="str">
        <f>Indexes!A90</f>
        <v>14Y</v>
      </c>
      <c r="B90" s="71">
        <f>_xll.qlIndexFixing(Indexes!B90,FixingDate,TRUE,InterestRatesTrigger)</f>
        <v>1.3577700650069288E-2</v>
      </c>
      <c r="C90" s="71">
        <f>_xll.qlIndexFixing(Indexes!C90,FixingDate,TRUE,InterestRatesTrigger)</f>
        <v>1.4774000859041795E-2</v>
      </c>
      <c r="D90" s="72">
        <f>_xll.qlIndexFixing(Indexes!D90,FixingDate,TRUE,InterestRatesTrigger)</f>
        <v>1.5787440255498334E-2</v>
      </c>
      <c r="E90" s="73">
        <f>_xll.qlIndexFixing(Indexes!E90,FixingDate,TRUE,InterestRatesTrigger)</f>
        <v>1.7021081943945655E-2</v>
      </c>
      <c r="G90" s="165">
        <f t="shared" si="12"/>
        <v>-3.7837269130751028E-3</v>
      </c>
      <c r="H90" s="166">
        <f t="shared" si="13"/>
        <v>-3.6802706598524151E-3</v>
      </c>
      <c r="I90" s="166">
        <f t="shared" si="14"/>
        <v>-3.7925597445361697E-3</v>
      </c>
      <c r="J90" s="167">
        <f t="shared" si="15"/>
        <v>-3.5425515517825447E-3</v>
      </c>
      <c r="K90" s="93">
        <v>14</v>
      </c>
      <c r="L90" s="180">
        <v>1.7361427563144391E-2</v>
      </c>
      <c r="M90" s="184">
        <v>1.845427151889421E-2</v>
      </c>
      <c r="N90" s="184">
        <v>1.9580000000034504E-2</v>
      </c>
      <c r="O90" s="182">
        <v>2.0563633495728199E-2</v>
      </c>
      <c r="P90" s="98"/>
      <c r="Q90" s="94">
        <f t="shared" si="17"/>
        <v>10.13439396456539</v>
      </c>
      <c r="R90" s="94">
        <f t="shared" si="16"/>
        <v>22.09739605429046</v>
      </c>
      <c r="S90" s="94">
        <f t="shared" si="18"/>
        <v>12.336416884473206</v>
      </c>
    </row>
    <row r="91" spans="1:22" collapsed="1" x14ac:dyDescent="0.2">
      <c r="A91" s="70" t="str">
        <f>Indexes!A91</f>
        <v>15Y</v>
      </c>
      <c r="B91" s="71">
        <f>_xll.qlIndexFixing(Indexes!B91,FixingDate,TRUE,InterestRatesTrigger)</f>
        <v>1.4290000000013235E-2</v>
      </c>
      <c r="C91" s="71">
        <f>_xll.qlIndexFixing(Indexes!C91,FixingDate,TRUE,InterestRatesTrigger)</f>
        <v>1.5459999999961369E-2</v>
      </c>
      <c r="D91" s="72">
        <f>_xll.qlIndexFixing(Indexes!D91,FixingDate,TRUE,InterestRatesTrigger)</f>
        <v>1.6429999999956063E-2</v>
      </c>
      <c r="E91" s="73">
        <f>_xll.qlIndexFixing(Indexes!E91,FixingDate,TRUE,InterestRatesTrigger)</f>
        <v>1.7620000000001104E-2</v>
      </c>
      <c r="G91" s="165">
        <f t="shared" si="12"/>
        <v>-3.7599999999860887E-3</v>
      </c>
      <c r="H91" s="166">
        <f t="shared" si="13"/>
        <v>-3.6700000000253093E-3</v>
      </c>
      <c r="I91" s="166">
        <f t="shared" si="14"/>
        <v>-3.780000000015462E-3</v>
      </c>
      <c r="J91" s="167">
        <f t="shared" si="15"/>
        <v>-3.5299999999980243E-3</v>
      </c>
      <c r="K91" s="93">
        <v>15</v>
      </c>
      <c r="L91" s="180">
        <v>1.8049999999999324E-2</v>
      </c>
      <c r="M91" s="184">
        <v>1.9129999999986678E-2</v>
      </c>
      <c r="N91" s="184">
        <v>2.0209999999971525E-2</v>
      </c>
      <c r="O91" s="182">
        <v>2.1149999999999128E-2</v>
      </c>
      <c r="P91" s="98"/>
      <c r="Q91" s="94">
        <f t="shared" si="17"/>
        <v>9.6999999999469377</v>
      </c>
      <c r="R91" s="94">
        <f t="shared" si="16"/>
        <v>21.399999999428282</v>
      </c>
      <c r="S91" s="94">
        <f t="shared" si="18"/>
        <v>11.900000000450405</v>
      </c>
    </row>
    <row r="92" spans="1:22" hidden="1" outlineLevel="1" x14ac:dyDescent="0.2">
      <c r="A92" s="70" t="str">
        <f>Indexes!A92</f>
        <v>16Y</v>
      </c>
      <c r="B92" s="71">
        <f>_xll.qlIndexFixing(Indexes!B92,FixingDate,TRUE,InterestRatesTrigger)</f>
        <v>1.4902651025179996E-2</v>
      </c>
      <c r="C92" s="71">
        <f>_xll.qlIndexFixing(Indexes!C92,FixingDate,TRUE,InterestRatesTrigger)</f>
        <v>1.6048147168835035E-2</v>
      </c>
      <c r="D92" s="72">
        <f>_xll.qlIndexFixing(Indexes!D92,FixingDate,TRUE,InterestRatesTrigger)</f>
        <v>1.6979662901802885E-2</v>
      </c>
      <c r="E92" s="73">
        <f>_xll.qlIndexFixing(Indexes!E92,FixingDate,TRUE,InterestRatesTrigger)</f>
        <v>1.8132047553366237E-2</v>
      </c>
      <c r="G92" s="165">
        <f t="shared" si="12"/>
        <v>-3.6945594737274982E-3</v>
      </c>
      <c r="H92" s="166">
        <f t="shared" si="13"/>
        <v>-3.6137251195499688E-3</v>
      </c>
      <c r="I92" s="166">
        <f t="shared" si="14"/>
        <v>-3.7403370981904799E-3</v>
      </c>
      <c r="J92" s="167">
        <f t="shared" si="15"/>
        <v>-3.4752486767508604E-3</v>
      </c>
      <c r="K92" s="93">
        <v>16</v>
      </c>
      <c r="L92" s="180">
        <v>1.8597210498907495E-2</v>
      </c>
      <c r="M92" s="184">
        <v>1.9661872288385004E-2</v>
      </c>
      <c r="N92" s="184">
        <v>2.0719999999993365E-2</v>
      </c>
      <c r="O92" s="182">
        <v>2.1607296230117097E-2</v>
      </c>
      <c r="P92" s="98"/>
      <c r="Q92" s="94">
        <f t="shared" si="17"/>
        <v>9.3151573296785042</v>
      </c>
      <c r="R92" s="94">
        <f t="shared" si="16"/>
        <v>20.77011876622889</v>
      </c>
      <c r="S92" s="94">
        <f t="shared" si="18"/>
        <v>11.523846515633512</v>
      </c>
    </row>
    <row r="93" spans="1:22" hidden="1" outlineLevel="1" x14ac:dyDescent="0.2">
      <c r="A93" s="70" t="str">
        <f>Indexes!A93</f>
        <v>17Y</v>
      </c>
      <c r="B93" s="71">
        <f>_xll.qlIndexFixing(Indexes!B93,FixingDate,TRUE,InterestRatesTrigger)</f>
        <v>1.5430415705559364E-2</v>
      </c>
      <c r="C93" s="71">
        <f>_xll.qlIndexFixing(Indexes!C93,FixingDate,TRUE,InterestRatesTrigger)</f>
        <v>1.6553160128792672E-2</v>
      </c>
      <c r="D93" s="72">
        <f>_xll.qlIndexFixing(Indexes!D93,FixingDate,TRUE,InterestRatesTrigger)</f>
        <v>1.7450319578601953E-2</v>
      </c>
      <c r="E93" s="73">
        <f>_xll.qlIndexFixing(Indexes!E93,FixingDate,TRUE,InterestRatesTrigger)</f>
        <v>1.8570079734195704E-2</v>
      </c>
      <c r="G93" s="165">
        <f t="shared" si="12"/>
        <v>-3.5939479935349662E-3</v>
      </c>
      <c r="H93" s="166">
        <f t="shared" si="13"/>
        <v>-3.5193849975240186E-3</v>
      </c>
      <c r="I93" s="166">
        <f t="shared" si="14"/>
        <v>-3.6496804214402982E-3</v>
      </c>
      <c r="J93" s="167">
        <f t="shared" si="15"/>
        <v>-3.3849612288947249E-3</v>
      </c>
      <c r="K93" s="93">
        <v>17</v>
      </c>
      <c r="L93" s="180">
        <v>1.902436369909433E-2</v>
      </c>
      <c r="M93" s="184">
        <v>2.007254512631669E-2</v>
      </c>
      <c r="N93" s="184">
        <v>2.1100000000042252E-2</v>
      </c>
      <c r="O93" s="182">
        <v>2.1955040963090429E-2</v>
      </c>
      <c r="P93" s="98"/>
      <c r="Q93" s="94">
        <f t="shared" si="17"/>
        <v>8.9715944980928164</v>
      </c>
      <c r="R93" s="94">
        <f t="shared" si="16"/>
        <v>20.199038730425897</v>
      </c>
      <c r="S93" s="94">
        <f t="shared" si="18"/>
        <v>11.197601555937506</v>
      </c>
    </row>
    <row r="94" spans="1:22" hidden="1" outlineLevel="1" x14ac:dyDescent="0.2">
      <c r="A94" s="70" t="str">
        <f>Indexes!A94</f>
        <v>18Y</v>
      </c>
      <c r="B94" s="71">
        <f>_xll.qlIndexFixing(Indexes!B94,FixingDate,TRUE,InterestRatesTrigger)</f>
        <v>1.5891308437754666E-2</v>
      </c>
      <c r="C94" s="71">
        <f>_xll.qlIndexFixing(Indexes!C94,FixingDate,TRUE,InterestRatesTrigger)</f>
        <v>1.6992510020853974E-2</v>
      </c>
      <c r="D94" s="72">
        <f>_xll.qlIndexFixing(Indexes!D94,FixingDate,TRUE,InterestRatesTrigger)</f>
        <v>1.7858395310235989E-2</v>
      </c>
      <c r="E94" s="73">
        <f>_xll.qlIndexFixing(Indexes!E94,FixingDate,TRUE,InterestRatesTrigger)</f>
        <v>1.8949182241174155E-2</v>
      </c>
      <c r="G94" s="165">
        <f t="shared" si="12"/>
        <v>-3.4703236069965476E-3</v>
      </c>
      <c r="H94" s="166">
        <f t="shared" si="13"/>
        <v>-3.4017668196197719E-3</v>
      </c>
      <c r="I94" s="166">
        <f t="shared" si="14"/>
        <v>-3.5316046897531095E-3</v>
      </c>
      <c r="J94" s="167">
        <f t="shared" si="15"/>
        <v>-3.2726442437824854E-3</v>
      </c>
      <c r="K94" s="93">
        <v>18</v>
      </c>
      <c r="L94" s="180">
        <v>1.9361632044751213E-2</v>
      </c>
      <c r="M94" s="184">
        <v>2.0394276840473746E-2</v>
      </c>
      <c r="N94" s="184">
        <v>2.1389999999989098E-2</v>
      </c>
      <c r="O94" s="182">
        <v>2.2221826484956641E-2</v>
      </c>
      <c r="P94" s="98"/>
      <c r="Q94" s="94">
        <f t="shared" si="17"/>
        <v>8.6588528938201517</v>
      </c>
      <c r="R94" s="94">
        <f t="shared" si="16"/>
        <v>19.670868724813232</v>
      </c>
      <c r="S94" s="94">
        <f t="shared" si="18"/>
        <v>10.907869309381667</v>
      </c>
    </row>
    <row r="95" spans="1:22" hidden="1" outlineLevel="1" x14ac:dyDescent="0.2">
      <c r="A95" s="70" t="str">
        <f>Indexes!A95</f>
        <v>19Y</v>
      </c>
      <c r="B95" s="71">
        <f>_xll.qlIndexFixing(Indexes!B95,FixingDate,TRUE,InterestRatesTrigger)</f>
        <v>1.6286019825154343E-2</v>
      </c>
      <c r="C95" s="71">
        <f>_xll.qlIndexFixing(Indexes!C95,FixingDate,TRUE,InterestRatesTrigger)</f>
        <v>1.736644889030747E-2</v>
      </c>
      <c r="D95" s="72">
        <f>_xll.qlIndexFixing(Indexes!D95,FixingDate,TRUE,InterestRatesTrigger)</f>
        <v>1.8203554827358463E-2</v>
      </c>
      <c r="E95" s="73">
        <f>_xll.qlIndexFixing(Indexes!E95,FixingDate,TRUE,InterestRatesTrigger)</f>
        <v>1.926807610466193E-2</v>
      </c>
      <c r="G95" s="165">
        <f t="shared" si="12"/>
        <v>-3.3442098926182544E-3</v>
      </c>
      <c r="H95" s="166">
        <f t="shared" si="13"/>
        <v>-3.2832986914964855E-3</v>
      </c>
      <c r="I95" s="166">
        <f t="shared" si="14"/>
        <v>-3.4064451726330131E-3</v>
      </c>
      <c r="J95" s="167">
        <f t="shared" si="15"/>
        <v>-3.1592043534192232E-3</v>
      </c>
      <c r="K95" s="93">
        <v>19</v>
      </c>
      <c r="L95" s="180">
        <v>1.9630229717772597E-2</v>
      </c>
      <c r="M95" s="184">
        <v>2.0649747581803955E-2</v>
      </c>
      <c r="N95" s="184">
        <v>2.1609999999991476E-2</v>
      </c>
      <c r="O95" s="182">
        <v>2.2427280458081154E-2</v>
      </c>
      <c r="P95" s="98"/>
      <c r="Q95" s="94">
        <f t="shared" si="17"/>
        <v>8.3710593705099345</v>
      </c>
      <c r="R95" s="94">
        <f t="shared" si="16"/>
        <v>19.175350022041204</v>
      </c>
      <c r="S95" s="94">
        <f t="shared" si="18"/>
        <v>10.645212773034672</v>
      </c>
    </row>
    <row r="96" spans="1:22" collapsed="1" x14ac:dyDescent="0.2">
      <c r="A96" s="70" t="str">
        <f>Indexes!A96</f>
        <v>20Y</v>
      </c>
      <c r="B96" s="71">
        <f>_xll.qlIndexFixing(Indexes!B96,FixingDate,TRUE,InterestRatesTrigger)</f>
        <v>1.6630000000024715E-2</v>
      </c>
      <c r="C96" s="71">
        <f>_xll.qlIndexFixing(Indexes!C96,FixingDate,TRUE,InterestRatesTrigger)</f>
        <v>1.768999999996148E-2</v>
      </c>
      <c r="D96" s="72">
        <f>_xll.qlIndexFixing(Indexes!D96,FixingDate,TRUE,InterestRatesTrigger)</f>
        <v>1.8499999999880945E-2</v>
      </c>
      <c r="E96" s="73">
        <f>_xll.qlIndexFixing(Indexes!E96,FixingDate,TRUE,InterestRatesTrigger)</f>
        <v>1.9540000000003457E-2</v>
      </c>
      <c r="G96" s="165">
        <f t="shared" si="12"/>
        <v>-3.2199999999305562E-3</v>
      </c>
      <c r="H96" s="166">
        <f t="shared" si="13"/>
        <v>-3.1699999999745855E-3</v>
      </c>
      <c r="I96" s="166">
        <f t="shared" si="14"/>
        <v>-3.280000000111527E-3</v>
      </c>
      <c r="J96" s="167">
        <f t="shared" si="15"/>
        <v>-3.0499999999592242E-3</v>
      </c>
      <c r="K96" s="93">
        <v>20</v>
      </c>
      <c r="L96" s="180">
        <v>1.9849999999955271E-2</v>
      </c>
      <c r="M96" s="184">
        <v>2.0859999999936065E-2</v>
      </c>
      <c r="N96" s="184">
        <v>2.1779999999992472E-2</v>
      </c>
      <c r="O96" s="182">
        <v>2.2589999999962682E-2</v>
      </c>
      <c r="P96" s="98"/>
      <c r="Q96" s="94">
        <f t="shared" si="17"/>
        <v>8.0999999991946545</v>
      </c>
      <c r="R96" s="94">
        <f t="shared" si="16"/>
        <v>18.699999998562298</v>
      </c>
      <c r="S96" s="94">
        <f t="shared" si="18"/>
        <v>10.400000001225123</v>
      </c>
    </row>
    <row r="97" spans="1:19" hidden="1" outlineLevel="1" x14ac:dyDescent="0.2">
      <c r="A97" s="70" t="str">
        <f>Indexes!A97</f>
        <v>21Y</v>
      </c>
      <c r="B97" s="71">
        <f>_xll.qlIndexFixing(Indexes!B97,FixingDate,TRUE,InterestRatesTrigger)</f>
        <v>1.6929237433392055E-2</v>
      </c>
      <c r="C97" s="71">
        <f>_xll.qlIndexFixing(Indexes!C97,FixingDate,TRUE,InterestRatesTrigger)</f>
        <v>1.7968976549477707E-2</v>
      </c>
      <c r="D97" s="72">
        <f>_xll.qlIndexFixing(Indexes!D97,FixingDate,TRUE,InterestRatesTrigger)</f>
        <v>1.875327170384539E-2</v>
      </c>
      <c r="E97" s="73">
        <f>_xll.qlIndexFixing(Indexes!E97,FixingDate,TRUE,InterestRatesTrigger)</f>
        <v>1.9769965173534854E-2</v>
      </c>
      <c r="G97" s="165">
        <f t="shared" si="12"/>
        <v>-3.0974677806666524E-3</v>
      </c>
      <c r="H97" s="166">
        <f t="shared" si="13"/>
        <v>-3.0620082359796262E-3</v>
      </c>
      <c r="I97" s="166">
        <f t="shared" si="14"/>
        <v>-3.1667282961483009E-3</v>
      </c>
      <c r="J97" s="167">
        <f t="shared" si="15"/>
        <v>-2.9447623652023754E-3</v>
      </c>
      <c r="K97" s="93">
        <v>21</v>
      </c>
      <c r="L97" s="180">
        <v>2.0026705214058707E-2</v>
      </c>
      <c r="M97" s="184">
        <v>2.1030984785457334E-2</v>
      </c>
      <c r="N97" s="184">
        <v>2.1919999999993691E-2</v>
      </c>
      <c r="O97" s="182">
        <v>2.2714727538737229E-2</v>
      </c>
      <c r="P97" s="98"/>
      <c r="Q97" s="94">
        <f t="shared" si="17"/>
        <v>7.8429515436768265</v>
      </c>
      <c r="R97" s="94">
        <f t="shared" si="16"/>
        <v>18.240342704533354</v>
      </c>
      <c r="S97" s="94">
        <f t="shared" si="18"/>
        <v>10.166934696894634</v>
      </c>
    </row>
    <row r="98" spans="1:19" hidden="1" outlineLevel="1" x14ac:dyDescent="0.2">
      <c r="A98" s="70" t="str">
        <f>Indexes!A98</f>
        <v>22Y</v>
      </c>
      <c r="B98" s="71">
        <f>_xll.qlIndexFixing(Indexes!B98,FixingDate,TRUE,InterestRatesTrigger)</f>
        <v>1.7192797289130445E-2</v>
      </c>
      <c r="C98" s="71">
        <f>_xll.qlIndexFixing(Indexes!C98,FixingDate,TRUE,InterestRatesTrigger)</f>
        <v>1.8212448038316186E-2</v>
      </c>
      <c r="D98" s="72">
        <f>_xll.qlIndexFixing(Indexes!D98,FixingDate,TRUE,InterestRatesTrigger)</f>
        <v>1.8972654620679336E-2</v>
      </c>
      <c r="E98" s="73">
        <f>_xll.qlIndexFixing(Indexes!E98,FixingDate,TRUE,InterestRatesTrigger)</f>
        <v>1.9966952756291307E-2</v>
      </c>
      <c r="G98" s="165">
        <f t="shared" si="12"/>
        <v>-2.9809675001445587E-3</v>
      </c>
      <c r="H98" s="166">
        <f t="shared" si="13"/>
        <v>-2.9616865728866945E-3</v>
      </c>
      <c r="I98" s="166">
        <f t="shared" si="14"/>
        <v>-3.0673453793149327E-3</v>
      </c>
      <c r="J98" s="167">
        <f t="shared" si="15"/>
        <v>-2.8460690483913462E-3</v>
      </c>
      <c r="K98" s="93">
        <v>22</v>
      </c>
      <c r="L98" s="180">
        <v>2.0173764789275003E-2</v>
      </c>
      <c r="M98" s="184">
        <v>2.1174134611202881E-2</v>
      </c>
      <c r="N98" s="184">
        <v>2.2039999999994269E-2</v>
      </c>
      <c r="O98" s="182">
        <v>2.2813021804682653E-2</v>
      </c>
      <c r="P98" s="98"/>
      <c r="Q98" s="94">
        <f t="shared" si="17"/>
        <v>7.6020658236315013</v>
      </c>
      <c r="R98" s="94">
        <f t="shared" si="16"/>
        <v>17.798573315488916</v>
      </c>
      <c r="S98" s="94">
        <f t="shared" si="18"/>
        <v>9.9429813561197058</v>
      </c>
    </row>
    <row r="99" spans="1:19" hidden="1" outlineLevel="1" x14ac:dyDescent="0.2">
      <c r="A99" s="70" t="str">
        <f>Indexes!A99</f>
        <v>23Y</v>
      </c>
      <c r="B99" s="71">
        <f>_xll.qlIndexFixing(Indexes!B99,FixingDate,TRUE,InterestRatesTrigger)</f>
        <v>1.7422694409003757E-2</v>
      </c>
      <c r="C99" s="71">
        <f>_xll.qlIndexFixing(Indexes!C99,FixingDate,TRUE,InterestRatesTrigger)</f>
        <v>1.8422224185711537E-2</v>
      </c>
      <c r="D99" s="72">
        <f>_xll.qlIndexFixing(Indexes!D99,FixingDate,TRUE,InterestRatesTrigger)</f>
        <v>1.9160093853654834E-2</v>
      </c>
      <c r="E99" s="73">
        <f>_xll.qlIndexFixing(Indexes!E99,FixingDate,TRUE,InterestRatesTrigger)</f>
        <v>2.0132466485938149E-2</v>
      </c>
      <c r="G99" s="165">
        <f t="shared" si="12"/>
        <v>-2.874921913643351E-3</v>
      </c>
      <c r="H99" s="166">
        <f t="shared" si="13"/>
        <v>-2.8715274157228438E-3</v>
      </c>
      <c r="I99" s="166">
        <f t="shared" si="14"/>
        <v>-2.9699061463400837E-3</v>
      </c>
      <c r="J99" s="167">
        <f t="shared" si="15"/>
        <v>-2.7575797724059339E-3</v>
      </c>
      <c r="K99" s="93">
        <v>23</v>
      </c>
      <c r="L99" s="180">
        <v>2.0297616322647108E-2</v>
      </c>
      <c r="M99" s="184">
        <v>2.1293751601434381E-2</v>
      </c>
      <c r="N99" s="184">
        <v>2.2129999999994918E-2</v>
      </c>
      <c r="O99" s="182">
        <v>2.2890046258344083E-2</v>
      </c>
      <c r="P99" s="98"/>
      <c r="Q99" s="94">
        <f t="shared" si="17"/>
        <v>7.3786966794329656</v>
      </c>
      <c r="R99" s="94">
        <f t="shared" si="16"/>
        <v>17.373994446510771</v>
      </c>
      <c r="S99" s="94">
        <f t="shared" si="18"/>
        <v>9.7237263228331514</v>
      </c>
    </row>
    <row r="100" spans="1:19" hidden="1" outlineLevel="1" x14ac:dyDescent="0.2">
      <c r="A100" s="70" t="str">
        <f>Indexes!A100</f>
        <v>24Y</v>
      </c>
      <c r="B100" s="71">
        <f>_xll.qlIndexFixing(Indexes!B100,FixingDate,TRUE,InterestRatesTrigger)</f>
        <v>1.762313809409153E-2</v>
      </c>
      <c r="C100" s="71">
        <f>_xll.qlIndexFixing(Indexes!C100,FixingDate,TRUE,InterestRatesTrigger)</f>
        <v>1.8602839400151984E-2</v>
      </c>
      <c r="D100" s="72">
        <f>_xll.qlIndexFixing(Indexes!D100,FixingDate,TRUE,InterestRatesTrigger)</f>
        <v>1.9320647516439214E-2</v>
      </c>
      <c r="E100" s="73">
        <f>_xll.qlIndexFixing(Indexes!E100,FixingDate,TRUE,InterestRatesTrigger)</f>
        <v>2.0271701327499E-2</v>
      </c>
      <c r="G100" s="165">
        <f t="shared" si="12"/>
        <v>-2.7828568726740686E-3</v>
      </c>
      <c r="H100" s="166">
        <f t="shared" si="13"/>
        <v>-2.7930453090664782E-3</v>
      </c>
      <c r="I100" s="166">
        <f t="shared" si="14"/>
        <v>-2.889352483556016E-3</v>
      </c>
      <c r="J100" s="167">
        <f t="shared" si="15"/>
        <v>-2.6807706477640428E-3</v>
      </c>
      <c r="K100" s="93">
        <v>24</v>
      </c>
      <c r="L100" s="180">
        <v>2.0405994966765598E-2</v>
      </c>
      <c r="M100" s="184">
        <v>2.1395884709218462E-2</v>
      </c>
      <c r="N100" s="184">
        <v>2.220999999999523E-2</v>
      </c>
      <c r="O100" s="182">
        <v>2.2952471975263043E-2</v>
      </c>
      <c r="P100" s="98"/>
      <c r="Q100" s="94">
        <f t="shared" si="17"/>
        <v>7.178081162872302</v>
      </c>
      <c r="R100" s="94">
        <f t="shared" si="16"/>
        <v>16.975094223476844</v>
      </c>
      <c r="S100" s="94">
        <f t="shared" si="18"/>
        <v>9.5105381105978566</v>
      </c>
    </row>
    <row r="101" spans="1:19" collapsed="1" x14ac:dyDescent="0.2">
      <c r="A101" s="70" t="str">
        <f>Indexes!A101</f>
        <v>25Y</v>
      </c>
      <c r="B101" s="71">
        <f>_xll.qlIndexFixing(Indexes!B101,FixingDate,TRUE,InterestRatesTrigger)</f>
        <v>1.77999999999966E-2</v>
      </c>
      <c r="C101" s="71">
        <f>_xll.qlIndexFixing(Indexes!C101,FixingDate,TRUE,InterestRatesTrigger)</f>
        <v>1.8759999999902039E-2</v>
      </c>
      <c r="D101" s="72">
        <f>_xll.qlIndexFixing(Indexes!D101,FixingDate,TRUE,InterestRatesTrigger)</f>
        <v>1.9459999999930189E-2</v>
      </c>
      <c r="E101" s="73">
        <f>_xll.qlIndexFixing(Indexes!E101,FixingDate,TRUE,InterestRatesTrigger)</f>
        <v>2.0390000000001882E-2</v>
      </c>
      <c r="G101" s="165">
        <f t="shared" si="12"/>
        <v>-2.700000000032815E-3</v>
      </c>
      <c r="H101" s="166">
        <f t="shared" si="13"/>
        <v>-2.7200000001228949E-3</v>
      </c>
      <c r="I101" s="166">
        <f t="shared" si="14"/>
        <v>-2.8200000000651627E-3</v>
      </c>
      <c r="J101" s="167">
        <f t="shared" si="15"/>
        <v>-2.610000000023132E-3</v>
      </c>
      <c r="K101" s="93">
        <v>25</v>
      </c>
      <c r="L101" s="180">
        <v>2.0500000000029415E-2</v>
      </c>
      <c r="M101" s="184">
        <v>2.1480000000024934E-2</v>
      </c>
      <c r="N101" s="184">
        <v>2.2279999999995352E-2</v>
      </c>
      <c r="O101" s="182">
        <v>2.3000000000025014E-2</v>
      </c>
      <c r="P101" s="98"/>
      <c r="Q101" s="94">
        <f t="shared" si="17"/>
        <v>7.0000000002815028</v>
      </c>
      <c r="R101" s="94">
        <f t="shared" si="16"/>
        <v>16.599999999335896</v>
      </c>
      <c r="S101" s="94">
        <f t="shared" si="18"/>
        <v>9.3000000007169294</v>
      </c>
    </row>
    <row r="102" spans="1:19" hidden="1" outlineLevel="1" x14ac:dyDescent="0.2">
      <c r="A102" s="70" t="str">
        <f>Indexes!A102</f>
        <v>26Y</v>
      </c>
      <c r="B102" s="71">
        <f>_xll.qlIndexFixing(Indexes!B102,FixingDate,TRUE,InterestRatesTrigger)</f>
        <v>1.795911916258508E-2</v>
      </c>
      <c r="C102" s="71">
        <f>_xll.qlIndexFixing(Indexes!C102,FixingDate,TRUE,InterestRatesTrigger)</f>
        <v>1.8899577128389314E-2</v>
      </c>
      <c r="D102" s="72">
        <f>_xll.qlIndexFixing(Indexes!D102,FixingDate,TRUE,InterestRatesTrigger)</f>
        <v>1.9583859347658477E-2</v>
      </c>
      <c r="E102" s="73">
        <f>_xll.qlIndexFixing(Indexes!E102,FixingDate,TRUE,InterestRatesTrigger)</f>
        <v>2.0493137931308612E-2</v>
      </c>
      <c r="G102" s="165">
        <f t="shared" si="12"/>
        <v>-2.6250968486311206E-3</v>
      </c>
      <c r="H102" s="166">
        <f t="shared" si="13"/>
        <v>-2.650971677693164E-3</v>
      </c>
      <c r="I102" s="166">
        <f t="shared" si="14"/>
        <v>-2.7561406523386005E-3</v>
      </c>
      <c r="J102" s="167">
        <f t="shared" si="15"/>
        <v>-2.5447565116056454E-3</v>
      </c>
      <c r="K102" s="93">
        <v>26</v>
      </c>
      <c r="L102" s="180">
        <v>2.0584216011216201E-2</v>
      </c>
      <c r="M102" s="184">
        <v>2.1550548806082478E-2</v>
      </c>
      <c r="N102" s="184">
        <v>2.2339999999997077E-2</v>
      </c>
      <c r="O102" s="182">
        <v>2.3037894442914257E-2</v>
      </c>
      <c r="P102" s="98"/>
      <c r="Q102" s="94">
        <f t="shared" si="17"/>
        <v>6.8428221926916315</v>
      </c>
      <c r="R102" s="94">
        <f t="shared" si="16"/>
        <v>16.247401850733972</v>
      </c>
      <c r="S102" s="94">
        <f t="shared" si="18"/>
        <v>9.0927858365013456</v>
      </c>
    </row>
    <row r="103" spans="1:19" hidden="1" outlineLevel="1" x14ac:dyDescent="0.2">
      <c r="A103" s="70" t="str">
        <f>Indexes!A103</f>
        <v>27Y</v>
      </c>
      <c r="B103" s="71">
        <f>_xll.qlIndexFixing(Indexes!B103,FixingDate,TRUE,InterestRatesTrigger)</f>
        <v>1.8100662609222284E-2</v>
      </c>
      <c r="C103" s="71">
        <f>_xll.qlIndexFixing(Indexes!C103,FixingDate,TRUE,InterestRatesTrigger)</f>
        <v>1.9022047752937424E-2</v>
      </c>
      <c r="D103" s="72">
        <f>_xll.qlIndexFixing(Indexes!D103,FixingDate,TRUE,InterestRatesTrigger)</f>
        <v>1.9691576628076135E-2</v>
      </c>
      <c r="E103" s="73">
        <f>_xll.qlIndexFixing(Indexes!E103,FixingDate,TRUE,InterestRatesTrigger)</f>
        <v>2.0581502849423262E-2</v>
      </c>
      <c r="G103" s="165">
        <f t="shared" si="12"/>
        <v>-2.5609519784877757E-3</v>
      </c>
      <c r="H103" s="166">
        <f t="shared" si="13"/>
        <v>-2.5912028026866957E-3</v>
      </c>
      <c r="I103" s="166">
        <f t="shared" si="14"/>
        <v>-2.6884233719174713E-3</v>
      </c>
      <c r="J103" s="167">
        <f t="shared" si="15"/>
        <v>-2.4899526777136076E-3</v>
      </c>
      <c r="K103" s="93">
        <v>27</v>
      </c>
      <c r="L103" s="180">
        <v>2.0661614587710059E-2</v>
      </c>
      <c r="M103" s="184">
        <v>2.161325055562412E-2</v>
      </c>
      <c r="N103" s="184">
        <v>2.2379999999993606E-2</v>
      </c>
      <c r="O103" s="182">
        <v>2.307145552713687E-2</v>
      </c>
      <c r="P103" s="98"/>
      <c r="Q103" s="94">
        <f t="shared" si="17"/>
        <v>6.695288751387106</v>
      </c>
      <c r="R103" s="94">
        <f t="shared" ref="R103:R136" si="19">(D103-B103)*10000</f>
        <v>15.909140188538514</v>
      </c>
      <c r="S103" s="94">
        <f t="shared" si="18"/>
        <v>8.8992622134712729</v>
      </c>
    </row>
    <row r="104" spans="1:19" hidden="1" outlineLevel="1" x14ac:dyDescent="0.2">
      <c r="A104" s="70" t="str">
        <f>Indexes!A104</f>
        <v>28Y</v>
      </c>
      <c r="B104" s="71">
        <f>_xll.qlIndexFixing(Indexes!B104,FixingDate,TRUE,InterestRatesTrigger)</f>
        <v>1.8230561495102569E-2</v>
      </c>
      <c r="C104" s="71">
        <f>_xll.qlIndexFixing(Indexes!C104,FixingDate,TRUE,InterestRatesTrigger)</f>
        <v>1.913367733693732E-2</v>
      </c>
      <c r="D104" s="72">
        <f>_xll.qlIndexFixing(Indexes!D104,FixingDate,TRUE,InterestRatesTrigger)</f>
        <v>1.9788222635307148E-2</v>
      </c>
      <c r="E104" s="73">
        <f>_xll.qlIndexFixing(Indexes!E104,FixingDate,TRUE,InterestRatesTrigger)</f>
        <v>2.0661246426176103E-2</v>
      </c>
      <c r="G104" s="165">
        <f t="shared" si="12"/>
        <v>-2.5050817283290353E-3</v>
      </c>
      <c r="H104" s="166">
        <f t="shared" si="13"/>
        <v>-2.540977068080541E-3</v>
      </c>
      <c r="I104" s="166">
        <f t="shared" si="14"/>
        <v>-2.6417773646983424E-3</v>
      </c>
      <c r="J104" s="167">
        <f t="shared" si="15"/>
        <v>-2.4457677194641321E-3</v>
      </c>
      <c r="K104" s="93">
        <v>28</v>
      </c>
      <c r="L104" s="180">
        <v>2.0735643223431605E-2</v>
      </c>
      <c r="M104" s="184">
        <v>2.1674654405017861E-2</v>
      </c>
      <c r="N104" s="184">
        <v>2.2430000000005491E-2</v>
      </c>
      <c r="O104" s="182">
        <v>2.3107014145640235E-2</v>
      </c>
      <c r="P104" s="98"/>
      <c r="Q104" s="94">
        <f t="shared" si="17"/>
        <v>6.5454529836982829</v>
      </c>
      <c r="R104" s="94">
        <f t="shared" si="19"/>
        <v>15.57661140204579</v>
      </c>
      <c r="S104" s="94">
        <f t="shared" si="18"/>
        <v>8.7302379086895421</v>
      </c>
    </row>
    <row r="105" spans="1:19" hidden="1" outlineLevel="1" x14ac:dyDescent="0.2">
      <c r="A105" s="70" t="str">
        <f>Indexes!A105</f>
        <v>29Y</v>
      </c>
      <c r="B105" s="71">
        <f>_xll.qlIndexFixing(Indexes!B105,FixingDate,TRUE,InterestRatesTrigger)</f>
        <v>1.8352853084933916E-2</v>
      </c>
      <c r="C105" s="71">
        <f>_xll.qlIndexFixing(Indexes!C105,FixingDate,TRUE,InterestRatesTrigger)</f>
        <v>1.923867180377788E-2</v>
      </c>
      <c r="D105" s="72">
        <f>_xll.qlIndexFixing(Indexes!D105,FixingDate,TRUE,InterestRatesTrigger)</f>
        <v>1.9876899666902877E-2</v>
      </c>
      <c r="E105" s="73">
        <f>_xll.qlIndexFixing(Indexes!E105,FixingDate,TRUE,InterestRatesTrigger)</f>
        <v>2.0736293598888421E-2</v>
      </c>
      <c r="G105" s="165">
        <f t="shared" si="12"/>
        <v>-2.4512976181137215E-3</v>
      </c>
      <c r="H105" s="166">
        <f t="shared" si="13"/>
        <v>-2.4965362019827297E-3</v>
      </c>
      <c r="I105" s="166">
        <f t="shared" si="14"/>
        <v>-2.6031003330931543E-3</v>
      </c>
      <c r="J105" s="167">
        <f t="shared" si="15"/>
        <v>-2.4085781308663644E-3</v>
      </c>
      <c r="K105" s="93">
        <v>29</v>
      </c>
      <c r="L105" s="180">
        <v>2.0804150703047638E-2</v>
      </c>
      <c r="M105" s="184">
        <v>2.173520800576061E-2</v>
      </c>
      <c r="N105" s="184">
        <v>2.2479999999996031E-2</v>
      </c>
      <c r="O105" s="182">
        <v>2.3144871729754785E-2</v>
      </c>
      <c r="P105" s="98"/>
      <c r="Q105" s="94">
        <f t="shared" si="17"/>
        <v>6.3822786312499673</v>
      </c>
      <c r="R105" s="94">
        <f t="shared" si="19"/>
        <v>15.240465819689602</v>
      </c>
      <c r="S105" s="94">
        <f t="shared" si="18"/>
        <v>8.5939393198554423</v>
      </c>
    </row>
    <row r="106" spans="1:19" collapsed="1" x14ac:dyDescent="0.2">
      <c r="A106" s="70" t="str">
        <f>Indexes!A106</f>
        <v>30Y</v>
      </c>
      <c r="B106" s="71">
        <f>_xll.qlIndexFixing(Indexes!B106,FixingDate,TRUE,InterestRatesTrigger)</f>
        <v>1.8470000000006388E-2</v>
      </c>
      <c r="C106" s="71">
        <f>_xll.qlIndexFixing(Indexes!C106,FixingDate,TRUE,InterestRatesTrigger)</f>
        <v>1.93400000000007E-2</v>
      </c>
      <c r="D106" s="72">
        <f>_xll.qlIndexFixing(Indexes!D106,FixingDate,TRUE,InterestRatesTrigger)</f>
        <v>1.9959999999943606E-2</v>
      </c>
      <c r="E106" s="73">
        <f>_xll.qlIndexFixing(Indexes!E106,FixingDate,TRUE,InterestRatesTrigger)</f>
        <v>2.081000000000037E-2</v>
      </c>
      <c r="G106" s="165">
        <f t="shared" si="12"/>
        <v>-2.3999999999771253E-3</v>
      </c>
      <c r="H106" s="166">
        <f t="shared" si="13"/>
        <v>-2.459999999980058E-3</v>
      </c>
      <c r="I106" s="166">
        <f t="shared" si="14"/>
        <v>-2.5700000000633272E-3</v>
      </c>
      <c r="J106" s="167">
        <f t="shared" si="15"/>
        <v>-2.3799999999854077E-3</v>
      </c>
      <c r="K106" s="93">
        <v>30</v>
      </c>
      <c r="L106" s="180">
        <v>2.0869999999983513E-2</v>
      </c>
      <c r="M106" s="184">
        <v>2.1799999999980758E-2</v>
      </c>
      <c r="N106" s="184">
        <v>2.2530000000006933E-2</v>
      </c>
      <c r="O106" s="182">
        <v>2.3189999999985778E-2</v>
      </c>
      <c r="P106" s="98"/>
      <c r="Q106" s="94">
        <f t="shared" si="17"/>
        <v>6.1999999994290578</v>
      </c>
      <c r="R106" s="94">
        <f t="shared" si="19"/>
        <v>14.899999999372186</v>
      </c>
      <c r="S106" s="94">
        <f t="shared" si="18"/>
        <v>8.5000000005676366</v>
      </c>
    </row>
    <row r="107" spans="1:19" hidden="1" outlineLevel="1" x14ac:dyDescent="0.2">
      <c r="A107" s="70" t="str">
        <f>Indexes!A107</f>
        <v>31Y</v>
      </c>
      <c r="B107" s="71">
        <f>_xll.qlIndexFixing(Indexes!B107,FixingDate,TRUE,InterestRatesTrigger)</f>
        <v>1.8582798233420964E-2</v>
      </c>
      <c r="C107" s="71">
        <f>_xll.qlIndexFixing(Indexes!C107,FixingDate,TRUE,InterestRatesTrigger)</f>
        <v>1.9438271250170586E-2</v>
      </c>
      <c r="D107" s="72">
        <f>_xll.qlIndexFixing(Indexes!D107,FixingDate,TRUE,InterestRatesTrigger)</f>
        <v>2.0037665797154235E-2</v>
      </c>
      <c r="E107" s="73">
        <f>_xll.qlIndexFixing(Indexes!E107,FixingDate,TRUE,InterestRatesTrigger)</f>
        <v>2.0882345710722481E-2</v>
      </c>
      <c r="G107" s="165">
        <f t="shared" si="12"/>
        <v>-2.3522005009894466E-3</v>
      </c>
      <c r="H107" s="166">
        <f t="shared" si="13"/>
        <v>-2.4336573404495562E-3</v>
      </c>
      <c r="I107" s="166">
        <f t="shared" si="14"/>
        <v>-2.5491367678186702E-3</v>
      </c>
      <c r="J107" s="167">
        <f t="shared" si="15"/>
        <v>-2.3626532093435348E-3</v>
      </c>
      <c r="K107" s="93">
        <v>31</v>
      </c>
      <c r="L107" s="180">
        <v>2.0934998734410411E-2</v>
      </c>
      <c r="M107" s="184">
        <v>2.1871928590620142E-2</v>
      </c>
      <c r="N107" s="184">
        <v>2.2586802564972905E-2</v>
      </c>
      <c r="O107" s="182">
        <v>2.3244998920066016E-2</v>
      </c>
      <c r="P107" s="98"/>
      <c r="Q107" s="94">
        <f t="shared" si="17"/>
        <v>5.9939454698364898</v>
      </c>
      <c r="R107" s="94">
        <f t="shared" si="19"/>
        <v>14.548675637332705</v>
      </c>
      <c r="S107" s="94">
        <f t="shared" si="18"/>
        <v>8.446799135682463</v>
      </c>
    </row>
    <row r="108" spans="1:19" hidden="1" outlineLevel="1" x14ac:dyDescent="0.2">
      <c r="A108" s="70" t="str">
        <f>Indexes!A108</f>
        <v>32Y</v>
      </c>
      <c r="B108" s="71">
        <f>_xll.qlIndexFixing(Indexes!B108,FixingDate,TRUE,InterestRatesTrigger)</f>
        <v>1.8691869529172078E-2</v>
      </c>
      <c r="C108" s="71">
        <f>_xll.qlIndexFixing(Indexes!C108,FixingDate,TRUE,InterestRatesTrigger)</f>
        <v>1.9534047499506355E-2</v>
      </c>
      <c r="D108" s="72">
        <f>_xll.qlIndexFixing(Indexes!D108,FixingDate,TRUE,InterestRatesTrigger)</f>
        <v>2.0112332904257766E-2</v>
      </c>
      <c r="E108" s="73">
        <f>_xll.qlIndexFixing(Indexes!E108,FixingDate,TRUE,InterestRatesTrigger)</f>
        <v>2.0953896941696606E-2</v>
      </c>
      <c r="G108" s="165">
        <f t="shared" si="12"/>
        <v>-2.3106154974354386E-3</v>
      </c>
      <c r="H108" s="166">
        <f t="shared" si="13"/>
        <v>-2.4179519111149038E-3</v>
      </c>
      <c r="I108" s="166">
        <f t="shared" si="14"/>
        <v>-2.540443273040871E-3</v>
      </c>
      <c r="J108" s="167">
        <f t="shared" si="15"/>
        <v>-2.3567557798595574E-3</v>
      </c>
      <c r="K108" s="93">
        <v>32</v>
      </c>
      <c r="L108" s="180">
        <v>2.1002485026607516E-2</v>
      </c>
      <c r="M108" s="184">
        <v>2.1951999410621259E-2</v>
      </c>
      <c r="N108" s="184">
        <v>2.2652776177298637E-2</v>
      </c>
      <c r="O108" s="182">
        <v>2.3310652721556163E-2</v>
      </c>
      <c r="P108" s="98"/>
      <c r="Q108" s="94">
        <f t="shared" si="17"/>
        <v>5.7828540475141077</v>
      </c>
      <c r="R108" s="94">
        <f t="shared" si="19"/>
        <v>14.204633750856885</v>
      </c>
      <c r="S108" s="94">
        <f t="shared" si="18"/>
        <v>8.4156403743883974</v>
      </c>
    </row>
    <row r="109" spans="1:19" hidden="1" outlineLevel="1" x14ac:dyDescent="0.2">
      <c r="A109" s="70" t="str">
        <f>Indexes!A109</f>
        <v>33Y</v>
      </c>
      <c r="B109" s="71">
        <f>_xll.qlIndexFixing(Indexes!B109,FixingDate,TRUE,InterestRatesTrigger)</f>
        <v>1.8796519591263845E-2</v>
      </c>
      <c r="C109" s="71">
        <f>_xll.qlIndexFixing(Indexes!C109,FixingDate,TRUE,InterestRatesTrigger)</f>
        <v>1.9626427455389811E-2</v>
      </c>
      <c r="D109" s="72">
        <f>_xll.qlIndexFixing(Indexes!D109,FixingDate,TRUE,InterestRatesTrigger)</f>
        <v>2.0185091529169474E-2</v>
      </c>
      <c r="E109" s="73">
        <f>_xll.qlIndexFixing(Indexes!E109,FixingDate,TRUE,InterestRatesTrigger)</f>
        <v>2.1023579552560772E-2</v>
      </c>
      <c r="G109" s="165">
        <f t="shared" si="12"/>
        <v>-2.2771341329504563E-3</v>
      </c>
      <c r="H109" s="166">
        <f t="shared" si="13"/>
        <v>-2.4122642698046967E-3</v>
      </c>
      <c r="I109" s="166">
        <f t="shared" si="14"/>
        <v>-2.5411254022259314E-3</v>
      </c>
      <c r="J109" s="167">
        <f t="shared" si="15"/>
        <v>-2.3610098683698628E-3</v>
      </c>
      <c r="K109" s="93">
        <v>33</v>
      </c>
      <c r="L109" s="180">
        <v>2.1073653724214301E-2</v>
      </c>
      <c r="M109" s="184">
        <v>2.2038691725194508E-2</v>
      </c>
      <c r="N109" s="184">
        <v>2.2726216931395406E-2</v>
      </c>
      <c r="O109" s="182">
        <v>2.3384589420930635E-2</v>
      </c>
      <c r="P109" s="98"/>
      <c r="Q109" s="94">
        <f t="shared" si="17"/>
        <v>5.5866407377966336</v>
      </c>
      <c r="R109" s="94">
        <f t="shared" si="19"/>
        <v>13.885719379056297</v>
      </c>
      <c r="S109" s="94">
        <f t="shared" si="18"/>
        <v>8.3848802339129769</v>
      </c>
    </row>
    <row r="110" spans="1:19" hidden="1" outlineLevel="1" x14ac:dyDescent="0.2">
      <c r="A110" s="70" t="str">
        <f>Indexes!A110</f>
        <v>34Y</v>
      </c>
      <c r="B110" s="71">
        <f>_xll.qlIndexFixing(Indexes!B110,FixingDate,TRUE,InterestRatesTrigger)</f>
        <v>1.8897995674822886E-2</v>
      </c>
      <c r="C110" s="71">
        <f>_xll.qlIndexFixing(Indexes!C110,FixingDate,TRUE,InterestRatesTrigger)</f>
        <v>1.9716431392331809E-2</v>
      </c>
      <c r="D110" s="72">
        <f>_xll.qlIndexFixing(Indexes!D110,FixingDate,TRUE,InterestRatesTrigger)</f>
        <v>2.0258573706941525E-2</v>
      </c>
      <c r="E110" s="73">
        <f>_xll.qlIndexFixing(Indexes!E110,FixingDate,TRUE,InterestRatesTrigger)</f>
        <v>2.1092166437127344E-2</v>
      </c>
      <c r="G110" s="165">
        <f t="shared" si="12"/>
        <v>-2.2541098222608261E-3</v>
      </c>
      <c r="H110" s="166">
        <f t="shared" si="13"/>
        <v>-2.4168763498144709E-3</v>
      </c>
      <c r="I110" s="166">
        <f t="shared" si="14"/>
        <v>-2.5499862917590203E-3</v>
      </c>
      <c r="J110" s="167">
        <f t="shared" si="15"/>
        <v>-2.3756178356975112E-3</v>
      </c>
      <c r="K110" s="93">
        <v>34</v>
      </c>
      <c r="L110" s="180">
        <v>2.1152105497083712E-2</v>
      </c>
      <c r="M110" s="184">
        <v>2.213330774214628E-2</v>
      </c>
      <c r="N110" s="184">
        <v>2.2808559998700545E-2</v>
      </c>
      <c r="O110" s="182">
        <v>2.3467784272824855E-2</v>
      </c>
      <c r="P110" s="98"/>
      <c r="Q110" s="94">
        <f t="shared" si="17"/>
        <v>5.4214231460971565</v>
      </c>
      <c r="R110" s="94">
        <f t="shared" si="19"/>
        <v>13.605780321186387</v>
      </c>
      <c r="S110" s="94">
        <f t="shared" si="18"/>
        <v>8.3359273018581916</v>
      </c>
    </row>
    <row r="111" spans="1:19" hidden="1" outlineLevel="1" x14ac:dyDescent="0.2">
      <c r="A111" s="70" t="str">
        <f>Indexes!A111</f>
        <v>35Y</v>
      </c>
      <c r="B111" s="71">
        <f>_xll.qlIndexFixing(Indexes!B111,FixingDate,TRUE,InterestRatesTrigger)</f>
        <v>1.8991858080738114E-2</v>
      </c>
      <c r="C111" s="71">
        <f>_xll.qlIndexFixing(Indexes!C111,FixingDate,TRUE,InterestRatesTrigger)</f>
        <v>1.9799586086692678E-2</v>
      </c>
      <c r="D111" s="72">
        <f>_xll.qlIndexFixing(Indexes!D111,FixingDate,TRUE,InterestRatesTrigger)</f>
        <v>2.0329999999956962E-2</v>
      </c>
      <c r="E111" s="73">
        <f>_xll.qlIndexFixing(Indexes!E111,FixingDate,TRUE,InterestRatesTrigger)</f>
        <v>2.1155296527531665E-2</v>
      </c>
      <c r="G111" s="165">
        <f t="shared" si="12"/>
        <v>-2.2481419192749916E-3</v>
      </c>
      <c r="H111" s="166">
        <f t="shared" si="13"/>
        <v>-2.4364139133211775E-3</v>
      </c>
      <c r="I111" s="166">
        <f t="shared" si="14"/>
        <v>-2.5700000000522041E-3</v>
      </c>
      <c r="J111" s="167">
        <f t="shared" si="15"/>
        <v>-2.4047034724795982E-3</v>
      </c>
      <c r="K111" s="93">
        <v>35</v>
      </c>
      <c r="L111" s="180">
        <v>2.1240000000013106E-2</v>
      </c>
      <c r="M111" s="184">
        <v>2.2236000000013856E-2</v>
      </c>
      <c r="N111" s="184">
        <v>2.2900000000009166E-2</v>
      </c>
      <c r="O111" s="182">
        <v>2.3560000000011263E-2</v>
      </c>
      <c r="P111" s="98"/>
      <c r="Q111" s="94">
        <f t="shared" si="17"/>
        <v>5.3041391326428409</v>
      </c>
      <c r="R111" s="94">
        <f t="shared" si="19"/>
        <v>13.38141919218848</v>
      </c>
      <c r="S111" s="94">
        <f t="shared" si="18"/>
        <v>8.2529652757470231</v>
      </c>
    </row>
    <row r="112" spans="1:19" hidden="1" outlineLevel="1" x14ac:dyDescent="0.2">
      <c r="A112" s="70" t="str">
        <f>Indexes!A112</f>
        <v>36Y</v>
      </c>
      <c r="B112" s="71">
        <f>_xll.qlIndexFixing(Indexes!B112,FixingDate,TRUE,InterestRatesTrigger)</f>
        <v>1.907987805562001E-2</v>
      </c>
      <c r="C112" s="71">
        <f>_xll.qlIndexFixing(Indexes!C112,FixingDate,TRUE,InterestRatesTrigger)</f>
        <v>1.9877442067195598E-2</v>
      </c>
      <c r="D112" s="72">
        <f>_xll.qlIndexFixing(Indexes!D112,FixingDate,TRUE,InterestRatesTrigger)</f>
        <v>2.0401442409281684E-2</v>
      </c>
      <c r="E112" s="73">
        <f>_xll.qlIndexFixing(Indexes!E112,FixingDate,TRUE,InterestRatesTrigger)</f>
        <v>2.1214237643330081E-2</v>
      </c>
      <c r="G112" s="165">
        <f t="shared" si="12"/>
        <v>-2.2600948977601204E-3</v>
      </c>
      <c r="H112" s="166">
        <f t="shared" si="13"/>
        <v>-2.4707664041891605E-3</v>
      </c>
      <c r="I112" s="166">
        <f t="shared" si="14"/>
        <v>-2.6004862214720689E-3</v>
      </c>
      <c r="J112" s="167">
        <f t="shared" si="15"/>
        <v>-2.4481362476223671E-3</v>
      </c>
      <c r="K112" s="93">
        <v>36</v>
      </c>
      <c r="L112" s="180">
        <v>2.1339972953380131E-2</v>
      </c>
      <c r="M112" s="184">
        <v>2.2348208471384759E-2</v>
      </c>
      <c r="N112" s="184">
        <v>2.3001928630753753E-2</v>
      </c>
      <c r="O112" s="182">
        <v>2.3662373890952448E-2</v>
      </c>
      <c r="P112" s="98"/>
      <c r="Q112" s="94">
        <f t="shared" si="17"/>
        <v>5.2400034208608535</v>
      </c>
      <c r="R112" s="94">
        <f t="shared" si="19"/>
        <v>13.215643536616737</v>
      </c>
      <c r="S112" s="94">
        <f t="shared" si="18"/>
        <v>8.1279523404839686</v>
      </c>
    </row>
    <row r="113" spans="1:19" hidden="1" outlineLevel="1" x14ac:dyDescent="0.2">
      <c r="A113" s="70" t="str">
        <f>Indexes!A113</f>
        <v>37Y</v>
      </c>
      <c r="B113" s="71">
        <f>_xll.qlIndexFixing(Indexes!B113,FixingDate,TRUE,InterestRatesTrigger)</f>
        <v>1.9161950914532769E-2</v>
      </c>
      <c r="C113" s="71">
        <f>_xll.qlIndexFixing(Indexes!C113,FixingDate,TRUE,InterestRatesTrigger)</f>
        <v>1.9949747702417017E-2</v>
      </c>
      <c r="D113" s="72">
        <f>_xll.qlIndexFixing(Indexes!D113,FixingDate,TRUE,InterestRatesTrigger)</f>
        <v>2.0471172226535904E-2</v>
      </c>
      <c r="E113" s="73">
        <f>_xll.qlIndexFixing(Indexes!E113,FixingDate,TRUE,InterestRatesTrigger)</f>
        <v>2.1268582401417879E-2</v>
      </c>
      <c r="G113" s="165">
        <f t="shared" si="12"/>
        <v>-2.2824557687448448E-3</v>
      </c>
      <c r="H113" s="166">
        <f t="shared" si="13"/>
        <v>-2.5126249895436742E-3</v>
      </c>
      <c r="I113" s="166">
        <f t="shared" si="14"/>
        <v>-2.6355861533193803E-3</v>
      </c>
      <c r="J113" s="167">
        <f t="shared" si="15"/>
        <v>-2.4986995286159254E-3</v>
      </c>
      <c r="K113" s="93">
        <v>37</v>
      </c>
      <c r="L113" s="180">
        <v>2.1444406683277614E-2</v>
      </c>
      <c r="M113" s="184">
        <v>2.2462372691960691E-2</v>
      </c>
      <c r="N113" s="184">
        <v>2.3106758379855284E-2</v>
      </c>
      <c r="O113" s="182">
        <v>2.3767281930033805E-2</v>
      </c>
      <c r="P113" s="98"/>
      <c r="Q113" s="94">
        <f t="shared" si="17"/>
        <v>5.2142452411888671</v>
      </c>
      <c r="R113" s="94">
        <f t="shared" si="19"/>
        <v>13.092213120031344</v>
      </c>
      <c r="S113" s="94">
        <f t="shared" si="18"/>
        <v>7.9741017488197539</v>
      </c>
    </row>
    <row r="114" spans="1:19" hidden="1" outlineLevel="1" x14ac:dyDescent="0.2">
      <c r="A114" s="70" t="str">
        <f>Indexes!A114</f>
        <v>38Y</v>
      </c>
      <c r="B114" s="71">
        <f>_xll.qlIndexFixing(Indexes!B114,FixingDate,TRUE,InterestRatesTrigger)</f>
        <v>1.9238657425613027E-2</v>
      </c>
      <c r="C114" s="71">
        <f>_xll.qlIndexFixing(Indexes!C114,FixingDate,TRUE,InterestRatesTrigger)</f>
        <v>2.0017015994937763E-2</v>
      </c>
      <c r="D114" s="72">
        <f>_xll.qlIndexFixing(Indexes!D114,FixingDate,TRUE,InterestRatesTrigger)</f>
        <v>2.053795181985852E-2</v>
      </c>
      <c r="E114" s="73">
        <f>_xll.qlIndexFixing(Indexes!E114,FixingDate,TRUE,InterestRatesTrigger)</f>
        <v>2.1318814401273888E-2</v>
      </c>
      <c r="G114" s="165">
        <f t="shared" si="12"/>
        <v>-2.3126048517864324E-3</v>
      </c>
      <c r="H114" s="166">
        <f t="shared" si="13"/>
        <v>-2.5603364814392876E-3</v>
      </c>
      <c r="I114" s="166">
        <f t="shared" si="14"/>
        <v>-2.6751542039435798E-3</v>
      </c>
      <c r="J114" s="167">
        <f t="shared" si="15"/>
        <v>-2.5546950817568088E-3</v>
      </c>
      <c r="K114" s="93">
        <v>38</v>
      </c>
      <c r="L114" s="180">
        <v>2.1551262277399459E-2</v>
      </c>
      <c r="M114" s="184">
        <v>2.2577352476377051E-2</v>
      </c>
      <c r="N114" s="184">
        <v>2.32131060238021E-2</v>
      </c>
      <c r="O114" s="182">
        <v>2.3873509483030696E-2</v>
      </c>
      <c r="P114" s="98"/>
      <c r="Q114" s="94">
        <f t="shared" si="17"/>
        <v>5.2093582492075683</v>
      </c>
      <c r="R114" s="94">
        <f t="shared" si="19"/>
        <v>12.992943942454934</v>
      </c>
      <c r="S114" s="94">
        <f t="shared" si="18"/>
        <v>7.8086258141536744</v>
      </c>
    </row>
    <row r="115" spans="1:19" hidden="1" outlineLevel="1" x14ac:dyDescent="0.2">
      <c r="A115" s="70" t="str">
        <f>Indexes!A115</f>
        <v>39Y</v>
      </c>
      <c r="B115" s="71">
        <f>_xll.qlIndexFixing(Indexes!B115,FixingDate,TRUE,InterestRatesTrigger)</f>
        <v>1.9307582997010232E-2</v>
      </c>
      <c r="C115" s="71">
        <f>_xll.qlIndexFixing(Indexes!C115,FixingDate,TRUE,InterestRatesTrigger)</f>
        <v>2.0076716608337219E-2</v>
      </c>
      <c r="D115" s="72">
        <f>_xll.qlIndexFixing(Indexes!D115,FixingDate,TRUE,InterestRatesTrigger)</f>
        <v>2.0597630754344926E-2</v>
      </c>
      <c r="E115" s="73">
        <f>_xll.qlIndexFixing(Indexes!E115,FixingDate,TRUE,InterestRatesTrigger)</f>
        <v>2.1362285974254113E-2</v>
      </c>
      <c r="G115" s="165">
        <f t="shared" si="12"/>
        <v>-2.3496381148535653E-3</v>
      </c>
      <c r="H115" s="166">
        <f t="shared" si="13"/>
        <v>-2.6137457402918424E-3</v>
      </c>
      <c r="I115" s="166">
        <f t="shared" si="14"/>
        <v>-2.7204897297577468E-3</v>
      </c>
      <c r="J115" s="167">
        <f t="shared" si="15"/>
        <v>-2.6160243563790285E-3</v>
      </c>
      <c r="K115" s="93">
        <v>39</v>
      </c>
      <c r="L115" s="180">
        <v>2.1657221111863797E-2</v>
      </c>
      <c r="M115" s="184">
        <v>2.2690462348629061E-2</v>
      </c>
      <c r="N115" s="184">
        <v>2.3318120484102672E-2</v>
      </c>
      <c r="O115" s="182">
        <v>2.3978310330633142E-2</v>
      </c>
      <c r="P115" s="98"/>
      <c r="Q115" s="94">
        <f t="shared" si="17"/>
        <v>5.2091414600770669</v>
      </c>
      <c r="R115" s="94">
        <f t="shared" si="19"/>
        <v>12.90047757334694</v>
      </c>
      <c r="S115" s="94">
        <f t="shared" si="18"/>
        <v>7.6465521990918761</v>
      </c>
    </row>
    <row r="116" spans="1:19" collapsed="1" x14ac:dyDescent="0.2">
      <c r="A116" s="70" t="str">
        <f>Indexes!A116</f>
        <v>40Y</v>
      </c>
      <c r="B116" s="71">
        <f>_xll.qlIndexFixing(Indexes!B116,FixingDate,TRUE,InterestRatesTrigger)</f>
        <v>1.9370000000012051E-2</v>
      </c>
      <c r="C116" s="71">
        <f>_xll.qlIndexFixing(Indexes!C116,FixingDate,TRUE,InterestRatesTrigger)</f>
        <v>2.0129999999982783E-2</v>
      </c>
      <c r="D116" s="72">
        <f>_xll.qlIndexFixing(Indexes!D116,FixingDate,TRUE,InterestRatesTrigger)</f>
        <v>2.0649999999987585E-2</v>
      </c>
      <c r="E116" s="73">
        <f>_xll.qlIndexFixing(Indexes!E116,FixingDate,TRUE,InterestRatesTrigger)</f>
        <v>2.1400000000003378E-2</v>
      </c>
      <c r="G116" s="165">
        <f t="shared" si="12"/>
        <v>-2.3899999999868748E-3</v>
      </c>
      <c r="H116" s="166">
        <f t="shared" si="13"/>
        <v>-2.6700000000162288E-3</v>
      </c>
      <c r="I116" s="166">
        <f t="shared" si="14"/>
        <v>-2.7700000000106667E-3</v>
      </c>
      <c r="J116" s="167">
        <f t="shared" si="15"/>
        <v>-2.6799999999955158E-3</v>
      </c>
      <c r="K116" s="93">
        <v>40</v>
      </c>
      <c r="L116" s="180">
        <v>2.1759999999998926E-2</v>
      </c>
      <c r="M116" s="184">
        <v>2.2799999999999012E-2</v>
      </c>
      <c r="N116" s="184">
        <v>2.3419999999998251E-2</v>
      </c>
      <c r="O116" s="182">
        <v>2.4079999999998894E-2</v>
      </c>
      <c r="P116" s="98"/>
      <c r="Q116" s="94">
        <f t="shared" si="17"/>
        <v>5.2000000000480133</v>
      </c>
      <c r="R116" s="94">
        <f t="shared" si="19"/>
        <v>12.799999999755334</v>
      </c>
      <c r="S116" s="94">
        <f t="shared" si="18"/>
        <v>7.5000000001579359</v>
      </c>
    </row>
    <row r="117" spans="1:19" hidden="1" outlineLevel="1" x14ac:dyDescent="0.2">
      <c r="A117" s="70" t="str">
        <f>Indexes!A117</f>
        <v>41Y</v>
      </c>
      <c r="B117" s="71">
        <f>_xll.qlIndexFixing(Indexes!B117,FixingDate,TRUE,InterestRatesTrigger)</f>
        <v>1.9425149963268058E-2</v>
      </c>
      <c r="C117" s="71">
        <f>_xll.qlIndexFixing(Indexes!C117,FixingDate,TRUE,InterestRatesTrigger)</f>
        <v>2.0176178406258304E-2</v>
      </c>
      <c r="D117" s="72">
        <f>_xll.qlIndexFixing(Indexes!D117,FixingDate,TRUE,InterestRatesTrigger)</f>
        <v>2.0693448139894911E-2</v>
      </c>
      <c r="E117" s="73">
        <f>_xll.qlIndexFixing(Indexes!E117,FixingDate,TRUE,InterestRatesTrigger)</f>
        <v>2.1431414076078355E-2</v>
      </c>
      <c r="G117" s="165">
        <f t="shared" si="12"/>
        <v>-2.4298037668369077E-3</v>
      </c>
      <c r="H117" s="166">
        <f t="shared" si="13"/>
        <v>-2.7254118051693796E-3</v>
      </c>
      <c r="I117" s="166">
        <f t="shared" si="14"/>
        <v>-2.8208103468366184E-3</v>
      </c>
      <c r="J117" s="167">
        <f t="shared" si="15"/>
        <v>-2.7426850940975751E-3</v>
      </c>
      <c r="K117" s="93">
        <v>41</v>
      </c>
      <c r="L117" s="180">
        <v>2.1854953730104966E-2</v>
      </c>
      <c r="M117" s="184">
        <v>2.2901590211427684E-2</v>
      </c>
      <c r="N117" s="184">
        <v>2.351425848673153E-2</v>
      </c>
      <c r="O117" s="182">
        <v>2.417409917017593E-2</v>
      </c>
      <c r="P117" s="98"/>
      <c r="Q117" s="94">
        <f t="shared" si="17"/>
        <v>5.1726973363660704</v>
      </c>
      <c r="R117" s="94">
        <f t="shared" si="19"/>
        <v>12.682981766268531</v>
      </c>
      <c r="S117" s="94">
        <f t="shared" si="18"/>
        <v>7.3796593618344346</v>
      </c>
    </row>
    <row r="118" spans="1:19" hidden="1" outlineLevel="1" x14ac:dyDescent="0.2">
      <c r="A118" s="70" t="str">
        <f>Indexes!A118</f>
        <v>42Y</v>
      </c>
      <c r="B118" s="71">
        <f>_xll.qlIndexFixing(Indexes!B118,FixingDate,TRUE,InterestRatesTrigger)</f>
        <v>1.9475224349784839E-2</v>
      </c>
      <c r="C118" s="71">
        <f>_xll.qlIndexFixing(Indexes!C118,FixingDate,TRUE,InterestRatesTrigger)</f>
        <v>2.0217404327851136E-2</v>
      </c>
      <c r="D118" s="72">
        <f>_xll.qlIndexFixing(Indexes!D118,FixingDate,TRUE,InterestRatesTrigger)</f>
        <v>2.0730319280126499E-2</v>
      </c>
      <c r="E118" s="73">
        <f>_xll.qlIndexFixing(Indexes!E118,FixingDate,TRUE,InterestRatesTrigger)</f>
        <v>2.1458538419437956E-2</v>
      </c>
      <c r="G118" s="165">
        <f t="shared" si="12"/>
        <v>-2.4686348810753905E-3</v>
      </c>
      <c r="H118" s="166">
        <f t="shared" si="13"/>
        <v>-2.7797352376527605E-3</v>
      </c>
      <c r="I118" s="166">
        <f t="shared" si="14"/>
        <v>-2.8724310767218493E-3</v>
      </c>
      <c r="J118" s="167">
        <f t="shared" si="15"/>
        <v>-2.8039607141044157E-3</v>
      </c>
      <c r="K118" s="93">
        <v>42</v>
      </c>
      <c r="L118" s="180">
        <v>2.194385923086023E-2</v>
      </c>
      <c r="M118" s="184">
        <v>2.2997139565503897E-2</v>
      </c>
      <c r="N118" s="184">
        <v>2.3602750356848348E-2</v>
      </c>
      <c r="O118" s="182">
        <v>2.4262499133542371E-2</v>
      </c>
      <c r="P118" s="98"/>
      <c r="Q118" s="94">
        <f t="shared" si="17"/>
        <v>5.1291495227536243</v>
      </c>
      <c r="R118" s="94">
        <f t="shared" si="19"/>
        <v>12.550949303416596</v>
      </c>
      <c r="S118" s="94">
        <f t="shared" si="18"/>
        <v>7.2821913931145694</v>
      </c>
    </row>
    <row r="119" spans="1:19" hidden="1" outlineLevel="1" x14ac:dyDescent="0.2">
      <c r="A119" s="70" t="str">
        <f>Indexes!A119</f>
        <v>43Y</v>
      </c>
      <c r="B119" s="71">
        <f>_xll.qlIndexFixing(Indexes!B119,FixingDate,TRUE,InterestRatesTrigger)</f>
        <v>1.9519356191715614E-2</v>
      </c>
      <c r="C119" s="71">
        <f>_xll.qlIndexFixing(Indexes!C119,FixingDate,TRUE,InterestRatesTrigger)</f>
        <v>2.0252822221573985E-2</v>
      </c>
      <c r="D119" s="72">
        <f>_xll.qlIndexFixing(Indexes!D119,FixingDate,TRUE,InterestRatesTrigger)</f>
        <v>2.0760134049094495E-2</v>
      </c>
      <c r="E119" s="73">
        <f>_xll.qlIndexFixing(Indexes!E119,FixingDate,TRUE,InterestRatesTrigger)</f>
        <v>2.1480444809567598E-2</v>
      </c>
      <c r="G119" s="165">
        <f t="shared" si="12"/>
        <v>-2.5067887594754125E-3</v>
      </c>
      <c r="H119" s="166">
        <f t="shared" si="13"/>
        <v>-2.8331088654911761E-3</v>
      </c>
      <c r="I119" s="166">
        <f t="shared" si="14"/>
        <v>-2.9247095701361164E-3</v>
      </c>
      <c r="J119" s="167">
        <f t="shared" si="15"/>
        <v>-2.8641000561577118E-3</v>
      </c>
      <c r="K119" s="93">
        <v>43</v>
      </c>
      <c r="L119" s="180">
        <v>2.2026144951191026E-2</v>
      </c>
      <c r="M119" s="184">
        <v>2.3085931087065161E-2</v>
      </c>
      <c r="N119" s="184">
        <v>2.3684843619230612E-2</v>
      </c>
      <c r="O119" s="182">
        <v>2.434454486572531E-2</v>
      </c>
      <c r="P119" s="98"/>
      <c r="Q119" s="94">
        <f t="shared" si="17"/>
        <v>5.0731182752051032</v>
      </c>
      <c r="R119" s="94">
        <f t="shared" si="19"/>
        <v>12.407778573788816</v>
      </c>
      <c r="S119" s="94">
        <f t="shared" si="18"/>
        <v>7.203107604731029</v>
      </c>
    </row>
    <row r="120" spans="1:19" hidden="1" outlineLevel="1" x14ac:dyDescent="0.2">
      <c r="A120" s="70" t="str">
        <f>Indexes!A120</f>
        <v>44Y</v>
      </c>
      <c r="B120" s="71">
        <f>_xll.qlIndexFixing(Indexes!B120,FixingDate,TRUE,InterestRatesTrigger)</f>
        <v>1.9559089687585109E-2</v>
      </c>
      <c r="C120" s="71">
        <f>_xll.qlIndexFixing(Indexes!C120,FixingDate,TRUE,InterestRatesTrigger)</f>
        <v>2.0284047626633033E-2</v>
      </c>
      <c r="D120" s="72">
        <f>_xll.qlIndexFixing(Indexes!D120,FixingDate,TRUE,InterestRatesTrigger)</f>
        <v>2.0784895668375158E-2</v>
      </c>
      <c r="E120" s="73">
        <f>_xll.qlIndexFixing(Indexes!E120,FixingDate,TRUE,InterestRatesTrigger)</f>
        <v>2.1498786416532058E-2</v>
      </c>
      <c r="G120" s="165">
        <f t="shared" si="12"/>
        <v>-2.5450157736342516E-3</v>
      </c>
      <c r="H120" s="166">
        <f t="shared" si="13"/>
        <v>-2.8862787562999488E-3</v>
      </c>
      <c r="I120" s="166">
        <f t="shared" si="14"/>
        <v>-2.9779478369191502E-3</v>
      </c>
      <c r="J120" s="167">
        <f t="shared" si="15"/>
        <v>-2.9237753885791723E-3</v>
      </c>
      <c r="K120" s="93">
        <v>44</v>
      </c>
      <c r="L120" s="180">
        <v>2.210410546121936E-2</v>
      </c>
      <c r="M120" s="184">
        <v>2.3170326382932982E-2</v>
      </c>
      <c r="N120" s="184">
        <v>2.3762843505294309E-2</v>
      </c>
      <c r="O120" s="182">
        <v>2.442256180511123E-2</v>
      </c>
      <c r="P120" s="98"/>
      <c r="Q120" s="94">
        <f t="shared" si="17"/>
        <v>5.0084804174212527</v>
      </c>
      <c r="R120" s="94">
        <f t="shared" si="19"/>
        <v>12.258059807900498</v>
      </c>
      <c r="S120" s="94">
        <f t="shared" si="18"/>
        <v>7.1389074815689932</v>
      </c>
    </row>
    <row r="121" spans="1:19" hidden="1" outlineLevel="1" x14ac:dyDescent="0.2">
      <c r="A121" s="70" t="str">
        <f>Indexes!A121</f>
        <v>45Y</v>
      </c>
      <c r="B121" s="71">
        <f>_xll.qlIndexFixing(Indexes!B121,FixingDate,TRUE,InterestRatesTrigger)</f>
        <v>1.9595103823263061E-2</v>
      </c>
      <c r="C121" s="71">
        <f>_xll.qlIndexFixing(Indexes!C121,FixingDate,TRUE,InterestRatesTrigger)</f>
        <v>2.0311795776244743E-2</v>
      </c>
      <c r="D121" s="72">
        <f>_xll.qlIndexFixing(Indexes!D121,FixingDate,TRUE,InterestRatesTrigger)</f>
        <v>2.0805645824686487E-2</v>
      </c>
      <c r="E121" s="73">
        <f>_xll.qlIndexFixing(Indexes!E121,FixingDate,TRUE,InterestRatesTrigger)</f>
        <v>2.1514266227706712E-2</v>
      </c>
      <c r="G121" s="165">
        <f t="shared" si="12"/>
        <v>-2.5812863001840915E-3</v>
      </c>
      <c r="H121" s="166">
        <f t="shared" si="13"/>
        <v>-2.9370425426194051E-3</v>
      </c>
      <c r="I121" s="166">
        <f t="shared" si="14"/>
        <v>-3.0295859416244256E-3</v>
      </c>
      <c r="J121" s="167">
        <f t="shared" si="15"/>
        <v>-2.9807049398766459E-3</v>
      </c>
      <c r="K121" s="93">
        <v>45</v>
      </c>
      <c r="L121" s="180">
        <v>2.2176390123447152E-2</v>
      </c>
      <c r="M121" s="184">
        <v>2.3248838318864148E-2</v>
      </c>
      <c r="N121" s="184">
        <v>2.3835231766310912E-2</v>
      </c>
      <c r="O121" s="182">
        <v>2.4494971167583358E-2</v>
      </c>
      <c r="P121" s="98"/>
      <c r="Q121" s="94">
        <f t="shared" si="17"/>
        <v>4.9385004844174425</v>
      </c>
      <c r="R121" s="94">
        <f t="shared" si="19"/>
        <v>12.105420014234259</v>
      </c>
      <c r="S121" s="94">
        <f t="shared" si="18"/>
        <v>7.0862040302022491</v>
      </c>
    </row>
    <row r="122" spans="1:19" hidden="1" outlineLevel="1" x14ac:dyDescent="0.2">
      <c r="A122" s="70" t="str">
        <f>Indexes!A122</f>
        <v>46Y</v>
      </c>
      <c r="B122" s="71">
        <f>_xll.qlIndexFixing(Indexes!B122,FixingDate,TRUE,InterestRatesTrigger)</f>
        <v>1.9628854235037355E-2</v>
      </c>
      <c r="C122" s="71">
        <f>_xll.qlIndexFixing(Indexes!C122,FixingDate,TRUE,InterestRatesTrigger)</f>
        <v>2.0337535755745581E-2</v>
      </c>
      <c r="D122" s="72">
        <f>_xll.qlIndexFixing(Indexes!D122,FixingDate,TRUE,InterestRatesTrigger)</f>
        <v>2.0824121432267455E-2</v>
      </c>
      <c r="E122" s="73">
        <f>_xll.qlIndexFixing(Indexes!E122,FixingDate,TRUE,InterestRatesTrigger)</f>
        <v>2.1528320795393227E-2</v>
      </c>
      <c r="G122" s="165">
        <f t="shared" si="12"/>
        <v>-2.6154036908757443E-3</v>
      </c>
      <c r="H122" s="166">
        <f t="shared" si="13"/>
        <v>-2.9851932297540323E-3</v>
      </c>
      <c r="I122" s="166">
        <f t="shared" si="14"/>
        <v>-3.0791657187163105E-3</v>
      </c>
      <c r="J122" s="167">
        <f t="shared" si="15"/>
        <v>-3.0347459145343841E-3</v>
      </c>
      <c r="K122" s="93">
        <v>46</v>
      </c>
      <c r="L122" s="180">
        <v>2.22442579259131E-2</v>
      </c>
      <c r="M122" s="184">
        <v>2.3322728985499613E-2</v>
      </c>
      <c r="N122" s="184">
        <v>2.3903287150983766E-2</v>
      </c>
      <c r="O122" s="182">
        <v>2.4563066709927611E-2</v>
      </c>
      <c r="P122" s="98"/>
      <c r="Q122" s="94">
        <f t="shared" si="17"/>
        <v>4.8658567652187443</v>
      </c>
      <c r="R122" s="94">
        <f t="shared" si="19"/>
        <v>11.952671972301001</v>
      </c>
      <c r="S122" s="94">
        <f t="shared" si="18"/>
        <v>7.041993631257716</v>
      </c>
    </row>
    <row r="123" spans="1:19" hidden="1" outlineLevel="1" x14ac:dyDescent="0.2">
      <c r="A123" s="70" t="str">
        <f>Indexes!A123</f>
        <v>47Y</v>
      </c>
      <c r="B123" s="71">
        <f>_xll.qlIndexFixing(Indexes!B123,FixingDate,TRUE,InterestRatesTrigger)</f>
        <v>1.9659093600613846E-2</v>
      </c>
      <c r="C123" s="71">
        <f>_xll.qlIndexFixing(Indexes!C123,FixingDate,TRUE,InterestRatesTrigger)</f>
        <v>2.0360107577437832E-2</v>
      </c>
      <c r="D123" s="72">
        <f>_xll.qlIndexFixing(Indexes!D123,FixingDate,TRUE,InterestRatesTrigger)</f>
        <v>2.083948821413447E-2</v>
      </c>
      <c r="E123" s="73">
        <f>_xll.qlIndexFixing(Indexes!E123,FixingDate,TRUE,InterestRatesTrigger)</f>
        <v>2.1539853063217772E-2</v>
      </c>
      <c r="G123" s="165">
        <f t="shared" si="12"/>
        <v>-2.6490218156572133E-3</v>
      </c>
      <c r="H123" s="166">
        <f t="shared" si="13"/>
        <v>-3.0322664935148111E-3</v>
      </c>
      <c r="I123" s="166">
        <f t="shared" si="14"/>
        <v>-3.1278917834237571E-3</v>
      </c>
      <c r="J123" s="167">
        <f t="shared" si="15"/>
        <v>-3.0873574286328781E-3</v>
      </c>
      <c r="K123" s="93">
        <v>47</v>
      </c>
      <c r="L123" s="180">
        <v>2.2308115416271059E-2</v>
      </c>
      <c r="M123" s="184">
        <v>2.3392374070952644E-2</v>
      </c>
      <c r="N123" s="184">
        <v>2.3967379997558227E-2</v>
      </c>
      <c r="O123" s="182">
        <v>2.4627210491850651E-2</v>
      </c>
      <c r="P123" s="98"/>
      <c r="Q123" s="94">
        <f t="shared" si="17"/>
        <v>4.7938063669663782</v>
      </c>
      <c r="R123" s="94">
        <f t="shared" si="19"/>
        <v>11.803946135206244</v>
      </c>
      <c r="S123" s="94">
        <f t="shared" si="18"/>
        <v>7.0036484908330214</v>
      </c>
    </row>
    <row r="124" spans="1:19" hidden="1" outlineLevel="1" x14ac:dyDescent="0.2">
      <c r="A124" s="70" t="str">
        <f>Indexes!A124</f>
        <v>48Y</v>
      </c>
      <c r="B124" s="71">
        <f>_xll.qlIndexFixing(Indexes!B124,FixingDate,TRUE,InterestRatesTrigger)</f>
        <v>1.9687343095316185E-2</v>
      </c>
      <c r="C124" s="71">
        <f>_xll.qlIndexFixing(Indexes!C124,FixingDate,TRUE,InterestRatesTrigger)</f>
        <v>2.0380995506164384E-2</v>
      </c>
      <c r="D124" s="72">
        <f>_xll.qlIndexFixing(Indexes!D124,FixingDate,TRUE,InterestRatesTrigger)</f>
        <v>2.0853399682973093E-2</v>
      </c>
      <c r="E124" s="73">
        <f>_xll.qlIndexFixing(Indexes!E124,FixingDate,TRUE,InterestRatesTrigger)</f>
        <v>2.1550252997973526E-2</v>
      </c>
      <c r="G124" s="165">
        <f t="shared" si="12"/>
        <v>-2.6820131730162441E-3</v>
      </c>
      <c r="H124" s="166">
        <f t="shared" si="13"/>
        <v>-3.0782090905620216E-3</v>
      </c>
      <c r="I124" s="166">
        <f t="shared" si="14"/>
        <v>-3.1755275059490821E-3</v>
      </c>
      <c r="J124" s="167">
        <f t="shared" si="15"/>
        <v>-3.1385833837145362E-3</v>
      </c>
      <c r="K124" s="93">
        <v>48</v>
      </c>
      <c r="L124" s="180">
        <v>2.2369356268332429E-2</v>
      </c>
      <c r="M124" s="184">
        <v>2.3459204596726405E-2</v>
      </c>
      <c r="N124" s="184">
        <v>2.4028927188922175E-2</v>
      </c>
      <c r="O124" s="182">
        <v>2.4688836381688062E-2</v>
      </c>
      <c r="P124" s="98"/>
      <c r="Q124" s="94">
        <f t="shared" si="17"/>
        <v>4.7240417680870923</v>
      </c>
      <c r="R124" s="94">
        <f t="shared" si="19"/>
        <v>11.660565876569079</v>
      </c>
      <c r="S124" s="94">
        <f t="shared" si="18"/>
        <v>6.968533150004327</v>
      </c>
    </row>
    <row r="125" spans="1:19" hidden="1" outlineLevel="1" x14ac:dyDescent="0.2">
      <c r="A125" s="70" t="str">
        <f>Indexes!A125</f>
        <v>49Y</v>
      </c>
      <c r="B125" s="71">
        <f>_xll.qlIndexFixing(Indexes!B125,FixingDate,TRUE,InterestRatesTrigger)</f>
        <v>1.9713958606028956E-2</v>
      </c>
      <c r="C125" s="71">
        <f>_xll.qlIndexFixing(Indexes!C125,FixingDate,TRUE,InterestRatesTrigger)</f>
        <v>2.0400598973488192E-2</v>
      </c>
      <c r="D125" s="72">
        <f>_xll.qlIndexFixing(Indexes!D125,FixingDate,TRUE,InterestRatesTrigger)</f>
        <v>2.0866481908481973E-2</v>
      </c>
      <c r="E125" s="73">
        <f>_xll.qlIndexFixing(Indexes!E125,FixingDate,TRUE,InterestRatesTrigger)</f>
        <v>2.1559941173272364E-2</v>
      </c>
      <c r="G125" s="165">
        <f t="shared" si="12"/>
        <v>-2.7121380272004079E-3</v>
      </c>
      <c r="H125" s="166">
        <f t="shared" si="13"/>
        <v>-3.120567940696789E-3</v>
      </c>
      <c r="I125" s="166">
        <f t="shared" si="14"/>
        <v>-3.2194194059561587E-3</v>
      </c>
      <c r="J125" s="167">
        <f t="shared" si="15"/>
        <v>-3.1859184174887929E-3</v>
      </c>
      <c r="K125" s="93">
        <v>49</v>
      </c>
      <c r="L125" s="180">
        <v>2.2426096633229364E-2</v>
      </c>
      <c r="M125" s="184">
        <v>2.3521166914184981E-2</v>
      </c>
      <c r="N125" s="184">
        <v>2.4085901314438132E-2</v>
      </c>
      <c r="O125" s="182">
        <v>2.4745859590761157E-2</v>
      </c>
      <c r="P125" s="98"/>
      <c r="Q125" s="94">
        <f t="shared" si="17"/>
        <v>4.6588293499378111</v>
      </c>
      <c r="R125" s="94">
        <f t="shared" si="19"/>
        <v>11.525233024530165</v>
      </c>
      <c r="S125" s="94">
        <f t="shared" si="18"/>
        <v>6.9345926479039139</v>
      </c>
    </row>
    <row r="126" spans="1:19" collapsed="1" x14ac:dyDescent="0.2">
      <c r="A126" s="70" t="str">
        <f>Indexes!A126</f>
        <v>50Y</v>
      </c>
      <c r="B126" s="71">
        <f>_xll.qlIndexFixing(Indexes!B126,FixingDate,TRUE,InterestRatesTrigger)</f>
        <v>1.9739999999989141E-2</v>
      </c>
      <c r="C126" s="71">
        <f>_xll.qlIndexFixing(Indexes!C126,FixingDate,TRUE,InterestRatesTrigger)</f>
        <v>2.0420000000026872E-2</v>
      </c>
      <c r="D126" s="72">
        <f>_xll.qlIndexFixing(Indexes!D126,FixingDate,TRUE,InterestRatesTrigger)</f>
        <v>2.0879999999956208E-2</v>
      </c>
      <c r="E126" s="73">
        <f>_xll.qlIndexFixing(Indexes!E126,FixingDate,TRUE,InterestRatesTrigger)</f>
        <v>2.1569999999978953E-2</v>
      </c>
      <c r="G126" s="165">
        <f t="shared" si="12"/>
        <v>-2.7400000000108553E-3</v>
      </c>
      <c r="H126" s="166">
        <f t="shared" si="13"/>
        <v>-3.159999999982583E-3</v>
      </c>
      <c r="I126" s="166">
        <f t="shared" si="14"/>
        <v>-3.2600000000448243E-3</v>
      </c>
      <c r="J126" s="167">
        <f t="shared" si="15"/>
        <v>-3.2300000000210737E-3</v>
      </c>
      <c r="K126" s="93">
        <v>50</v>
      </c>
      <c r="L126" s="180">
        <v>2.2479999999999997E-2</v>
      </c>
      <c r="M126" s="184">
        <v>2.3580000000009455E-2</v>
      </c>
      <c r="N126" s="184">
        <v>2.4140000000001032E-2</v>
      </c>
      <c r="O126" s="182">
        <v>2.4800000000000027E-2</v>
      </c>
      <c r="P126" s="98"/>
      <c r="Q126" s="94">
        <f t="shared" si="17"/>
        <v>4.599999999293364</v>
      </c>
      <c r="R126" s="94">
        <f t="shared" si="19"/>
        <v>11.399999999670667</v>
      </c>
      <c r="S126" s="94">
        <f t="shared" si="18"/>
        <v>6.9000000002274531</v>
      </c>
    </row>
    <row r="127" spans="1:19" hidden="1" outlineLevel="1" x14ac:dyDescent="0.2">
      <c r="A127" s="70" t="str">
        <f>Indexes!A127</f>
        <v>51Y</v>
      </c>
      <c r="B127" s="71">
        <f>_xll.qlIndexFixing(Indexes!B127,FixingDate,TRUE,InterestRatesTrigger)</f>
        <v>1.9764565780279006E-2</v>
      </c>
      <c r="C127" s="71">
        <f>_xll.qlIndexFixing(Indexes!C127,FixingDate,TRUE,InterestRatesTrigger)</f>
        <v>2.0438267246450224E-2</v>
      </c>
      <c r="D127" s="72">
        <f>_xll.qlIndexFixing(Indexes!D127,FixingDate,TRUE,InterestRatesTrigger)</f>
        <v>2.0893121584136923E-2</v>
      </c>
      <c r="E127" s="73">
        <f>_xll.qlIndexFixing(Indexes!E127,FixingDate,TRUE,InterestRatesTrigger)</f>
        <v>2.1579416187388158E-2</v>
      </c>
      <c r="G127" s="165">
        <f t="shared" si="12"/>
        <v>-2.7666123939931904E-3</v>
      </c>
      <c r="H127" s="166">
        <f t="shared" si="13"/>
        <v>-3.1975233654947255E-3</v>
      </c>
      <c r="I127" s="166">
        <f t="shared" si="14"/>
        <v>-3.2981938392128325E-3</v>
      </c>
      <c r="J127" s="167">
        <f t="shared" si="15"/>
        <v>-3.2719277784894474E-3</v>
      </c>
      <c r="K127" s="93">
        <v>51</v>
      </c>
      <c r="L127" s="180">
        <v>2.2531178174272196E-2</v>
      </c>
      <c r="M127" s="184">
        <v>2.363579061194495E-2</v>
      </c>
      <c r="N127" s="184">
        <v>2.4191315423349756E-2</v>
      </c>
      <c r="O127" s="182">
        <v>2.4851343965877605E-2</v>
      </c>
      <c r="P127" s="98"/>
      <c r="Q127" s="94">
        <f t="shared" si="17"/>
        <v>4.5485433768669914</v>
      </c>
      <c r="R127" s="94">
        <f t="shared" si="19"/>
        <v>11.285558038579175</v>
      </c>
      <c r="S127" s="94">
        <f t="shared" si="18"/>
        <v>6.8629460325123421</v>
      </c>
    </row>
    <row r="128" spans="1:19" hidden="1" outlineLevel="1" x14ac:dyDescent="0.2">
      <c r="A128" s="70" t="str">
        <f>Indexes!A128</f>
        <v>52Y</v>
      </c>
      <c r="B128" s="71">
        <f>_xll.qlIndexFixing(Indexes!B128,FixingDate,TRUE,InterestRatesTrigger)</f>
        <v>1.9788085465346363E-2</v>
      </c>
      <c r="C128" s="71">
        <f>_xll.qlIndexFixing(Indexes!C128,FixingDate,TRUE,InterestRatesTrigger)</f>
        <v>2.045589206868189E-2</v>
      </c>
      <c r="D128" s="72">
        <f>_xll.qlIndexFixing(Indexes!D128,FixingDate,TRUE,InterestRatesTrigger)</f>
        <v>2.0906339479824673E-2</v>
      </c>
      <c r="E128" s="73">
        <f>_xll.qlIndexFixing(Indexes!E128,FixingDate,TRUE,InterestRatesTrigger)</f>
        <v>2.1588766515564496E-2</v>
      </c>
      <c r="G128" s="165">
        <f t="shared" si="12"/>
        <v>-2.7925092266373984E-3</v>
      </c>
      <c r="H128" s="166">
        <f t="shared" si="13"/>
        <v>-3.2336756965592392E-3</v>
      </c>
      <c r="I128" s="166">
        <f t="shared" si="14"/>
        <v>-3.3345228571390918E-3</v>
      </c>
      <c r="J128" s="167">
        <f t="shared" si="15"/>
        <v>-3.3121603897106715E-3</v>
      </c>
      <c r="K128" s="93">
        <v>52</v>
      </c>
      <c r="L128" s="180">
        <v>2.2580594691983761E-2</v>
      </c>
      <c r="M128" s="184">
        <v>2.3689567765241129E-2</v>
      </c>
      <c r="N128" s="184">
        <v>2.4240862336963764E-2</v>
      </c>
      <c r="O128" s="182">
        <v>2.4900926905275168E-2</v>
      </c>
      <c r="P128" s="98"/>
      <c r="Q128" s="94">
        <f t="shared" si="17"/>
        <v>4.5044741114278271</v>
      </c>
      <c r="R128" s="94">
        <f t="shared" si="19"/>
        <v>11.182540144783101</v>
      </c>
      <c r="S128" s="94">
        <f t="shared" si="18"/>
        <v>6.8242703573982366</v>
      </c>
    </row>
    <row r="129" spans="1:19" hidden="1" outlineLevel="1" x14ac:dyDescent="0.2">
      <c r="A129" s="70" t="str">
        <f>Indexes!A129</f>
        <v>53Y</v>
      </c>
      <c r="B129" s="71">
        <f>_xll.qlIndexFixing(Indexes!B129,FixingDate,TRUE,InterestRatesTrigger)</f>
        <v>1.9810784058319011E-2</v>
      </c>
      <c r="C129" s="71">
        <f>_xll.qlIndexFixing(Indexes!C129,FixingDate,TRUE,InterestRatesTrigger)</f>
        <v>2.0473015747109396E-2</v>
      </c>
      <c r="D129" s="72">
        <f>_xll.qlIndexFixing(Indexes!D129,FixingDate,TRUE,InterestRatesTrigger)</f>
        <v>2.0919651575290195E-2</v>
      </c>
      <c r="E129" s="73">
        <f>_xll.qlIndexFixing(Indexes!E129,FixingDate,TRUE,InterestRatesTrigger)</f>
        <v>2.1598073165303766E-2</v>
      </c>
      <c r="G129" s="165">
        <f t="shared" si="12"/>
        <v>-2.816381169002305E-3</v>
      </c>
      <c r="H129" s="166">
        <f t="shared" si="13"/>
        <v>-3.267196967815373E-3</v>
      </c>
      <c r="I129" s="166">
        <f t="shared" si="14"/>
        <v>-3.3678214335417095E-3</v>
      </c>
      <c r="J129" s="167">
        <f t="shared" si="15"/>
        <v>-3.3494731915162251E-3</v>
      </c>
      <c r="K129" s="93">
        <v>53</v>
      </c>
      <c r="L129" s="180">
        <v>2.2627165227321316E-2</v>
      </c>
      <c r="M129" s="184">
        <v>2.3740212714924769E-2</v>
      </c>
      <c r="N129" s="184">
        <v>2.4287473008831904E-2</v>
      </c>
      <c r="O129" s="182">
        <v>2.4947546356819991E-2</v>
      </c>
      <c r="P129" s="98"/>
      <c r="Q129" s="94">
        <f t="shared" si="17"/>
        <v>4.4663582818079899</v>
      </c>
      <c r="R129" s="94">
        <f t="shared" si="19"/>
        <v>11.088675169711841</v>
      </c>
      <c r="S129" s="94">
        <f t="shared" si="18"/>
        <v>6.7842159001357123</v>
      </c>
    </row>
    <row r="130" spans="1:19" hidden="1" outlineLevel="1" x14ac:dyDescent="0.2">
      <c r="A130" s="70" t="str">
        <f>Indexes!A130</f>
        <v>54Y</v>
      </c>
      <c r="B130" s="71">
        <f>_xll.qlIndexFixing(Indexes!B130,FixingDate,TRUE,InterestRatesTrigger)</f>
        <v>1.9833329477894058E-2</v>
      </c>
      <c r="C130" s="71">
        <f>_xll.qlIndexFixing(Indexes!C130,FixingDate,TRUE,InterestRatesTrigger)</f>
        <v>2.0490267250244432E-2</v>
      </c>
      <c r="D130" s="72">
        <f>_xll.qlIndexFixing(Indexes!D130,FixingDate,TRUE,InterestRatesTrigger)</f>
        <v>2.0933592259722234E-2</v>
      </c>
      <c r="E130" s="73">
        <f>_xll.qlIndexFixing(Indexes!E130,FixingDate,TRUE,InterestRatesTrigger)</f>
        <v>2.1607914318102609E-2</v>
      </c>
      <c r="G130" s="165">
        <f t="shared" si="12"/>
        <v>-2.8378755589867216E-3</v>
      </c>
      <c r="H130" s="166">
        <f t="shared" si="13"/>
        <v>-3.2977871769370483E-3</v>
      </c>
      <c r="I130" s="166">
        <f t="shared" si="14"/>
        <v>-3.3979213843850428E-3</v>
      </c>
      <c r="J130" s="167">
        <f t="shared" si="15"/>
        <v>-3.3836691799640425E-3</v>
      </c>
      <c r="K130" s="93">
        <v>54</v>
      </c>
      <c r="L130" s="180">
        <v>2.267120503688078E-2</v>
      </c>
      <c r="M130" s="184">
        <v>2.3788054427181481E-2</v>
      </c>
      <c r="N130" s="184">
        <v>2.4331513644107277E-2</v>
      </c>
      <c r="O130" s="182">
        <v>2.4991583498066652E-2</v>
      </c>
      <c r="P130" s="98"/>
      <c r="Q130" s="94">
        <f t="shared" si="17"/>
        <v>4.4332500947780185</v>
      </c>
      <c r="R130" s="94">
        <f t="shared" si="19"/>
        <v>11.002627818281763</v>
      </c>
      <c r="S130" s="94">
        <f t="shared" si="18"/>
        <v>6.7432205838037493</v>
      </c>
    </row>
    <row r="131" spans="1:19" hidden="1" outlineLevel="1" x14ac:dyDescent="0.2">
      <c r="A131" s="70" t="str">
        <f>Indexes!A131</f>
        <v>55Y</v>
      </c>
      <c r="B131" s="71">
        <f>_xll.qlIndexFixing(Indexes!B131,FixingDate,TRUE,InterestRatesTrigger)</f>
        <v>1.9854505379988927E-2</v>
      </c>
      <c r="C131" s="71">
        <f>_xll.qlIndexFixing(Indexes!C131,FixingDate,TRUE,InterestRatesTrigger)</f>
        <v>2.0506413744616498E-2</v>
      </c>
      <c r="D131" s="72">
        <f>_xll.qlIndexFixing(Indexes!D131,FixingDate,TRUE,InterestRatesTrigger)</f>
        <v>2.0946851933282624E-2</v>
      </c>
      <c r="E131" s="73">
        <f>_xll.qlIndexFixing(Indexes!E131,FixingDate,TRUE,InterestRatesTrigger)</f>
        <v>2.1617021675879498E-2</v>
      </c>
      <c r="G131" s="165">
        <f t="shared" si="12"/>
        <v>-2.8587506511369917E-3</v>
      </c>
      <c r="H131" s="166">
        <f t="shared" si="13"/>
        <v>-3.3272803503408242E-3</v>
      </c>
      <c r="I131" s="166">
        <f t="shared" si="14"/>
        <v>-3.4266847123731528E-3</v>
      </c>
      <c r="J131" s="167">
        <f t="shared" si="15"/>
        <v>-3.4165749193419831E-3</v>
      </c>
      <c r="K131" s="93">
        <v>55</v>
      </c>
      <c r="L131" s="180">
        <v>2.2713256031125919E-2</v>
      </c>
      <c r="M131" s="184">
        <v>2.3833694094957322E-2</v>
      </c>
      <c r="N131" s="184">
        <v>2.4373536645655777E-2</v>
      </c>
      <c r="O131" s="182">
        <v>2.5033596595221481E-2</v>
      </c>
      <c r="P131" s="98"/>
      <c r="Q131" s="94">
        <f t="shared" si="17"/>
        <v>4.4043818866612572</v>
      </c>
      <c r="R131" s="94">
        <f t="shared" si="19"/>
        <v>10.923465532936966</v>
      </c>
      <c r="S131" s="94">
        <f t="shared" si="18"/>
        <v>6.7016974259687458</v>
      </c>
    </row>
    <row r="132" spans="1:19" hidden="1" outlineLevel="1" x14ac:dyDescent="0.2">
      <c r="A132" s="70" t="str">
        <f>Indexes!A132</f>
        <v>56Y</v>
      </c>
      <c r="B132" s="71">
        <f>_xll.qlIndexFixing(Indexes!B132,FixingDate,TRUE,InterestRatesTrigger)</f>
        <v>1.9874926927769373E-2</v>
      </c>
      <c r="C132" s="71">
        <f>_xll.qlIndexFixing(Indexes!C132,FixingDate,TRUE,InterestRatesTrigger)</f>
        <v>2.0522049286291623E-2</v>
      </c>
      <c r="D132" s="72">
        <f>_xll.qlIndexFixing(Indexes!D132,FixingDate,TRUE,InterestRatesTrigger)</f>
        <v>2.0959951950115741E-2</v>
      </c>
      <c r="E132" s="73">
        <f>_xll.qlIndexFixing(Indexes!E132,FixingDate,TRUE,InterestRatesTrigger)</f>
        <v>2.1625963717283248E-2</v>
      </c>
      <c r="G132" s="165">
        <f t="shared" si="12"/>
        <v>-2.8793006382790802E-3</v>
      </c>
      <c r="H132" s="166">
        <f t="shared" si="13"/>
        <v>-3.3560600162447565E-3</v>
      </c>
      <c r="I132" s="166">
        <f t="shared" si="14"/>
        <v>-3.4545476814974857E-3</v>
      </c>
      <c r="J132" s="167">
        <f t="shared" si="15"/>
        <v>-3.4485994183205936E-3</v>
      </c>
      <c r="K132" s="93">
        <v>56</v>
      </c>
      <c r="L132" s="180">
        <v>2.2754227566048453E-2</v>
      </c>
      <c r="M132" s="184">
        <v>2.3878109302536379E-2</v>
      </c>
      <c r="N132" s="184">
        <v>2.4414499631613226E-2</v>
      </c>
      <c r="O132" s="182">
        <v>2.5074563135603842E-2</v>
      </c>
      <c r="P132" s="98"/>
      <c r="Q132" s="94">
        <f t="shared" si="17"/>
        <v>4.379026638241176</v>
      </c>
      <c r="R132" s="94">
        <f t="shared" si="19"/>
        <v>10.850250223463677</v>
      </c>
      <c r="S132" s="94">
        <f t="shared" si="18"/>
        <v>6.660117671675077</v>
      </c>
    </row>
    <row r="133" spans="1:19" hidden="1" outlineLevel="1" x14ac:dyDescent="0.2">
      <c r="A133" s="70" t="str">
        <f>Indexes!A133</f>
        <v>57Y</v>
      </c>
      <c r="B133" s="71">
        <f>_xll.qlIndexFixing(Indexes!B133,FixingDate,TRUE,InterestRatesTrigger)</f>
        <v>1.9894719107969576E-2</v>
      </c>
      <c r="C133" s="71">
        <f>_xll.qlIndexFixing(Indexes!C133,FixingDate,TRUE,InterestRatesTrigger)</f>
        <v>2.0537252274838869E-2</v>
      </c>
      <c r="D133" s="72">
        <f>_xll.qlIndexFixing(Indexes!D133,FixingDate,TRUE,InterestRatesTrigger)</f>
        <v>2.0972890691009993E-2</v>
      </c>
      <c r="E133" s="73">
        <f>_xll.qlIndexFixing(Indexes!E133,FixingDate,TRUE,InterestRatesTrigger)</f>
        <v>2.1634752559198375E-2</v>
      </c>
      <c r="G133" s="165">
        <f t="shared" si="12"/>
        <v>-2.8980911492811588E-3</v>
      </c>
      <c r="H133" s="166">
        <f t="shared" si="13"/>
        <v>-3.3826741577043622E-3</v>
      </c>
      <c r="I133" s="166">
        <f t="shared" si="14"/>
        <v>-3.4801254964952968E-3</v>
      </c>
      <c r="J133" s="167">
        <f t="shared" si="15"/>
        <v>-3.478309780823044E-3</v>
      </c>
      <c r="K133" s="93">
        <v>57</v>
      </c>
      <c r="L133" s="180">
        <v>2.2792810257250735E-2</v>
      </c>
      <c r="M133" s="184">
        <v>2.3919926432543231E-2</v>
      </c>
      <c r="N133" s="184">
        <v>2.445301618750529E-2</v>
      </c>
      <c r="O133" s="182">
        <v>2.5113062340021419E-2</v>
      </c>
      <c r="P133" s="98"/>
      <c r="Q133" s="94">
        <f t="shared" si="17"/>
        <v>4.3563841617112393</v>
      </c>
      <c r="R133" s="94">
        <f t="shared" si="19"/>
        <v>10.781715830404174</v>
      </c>
      <c r="S133" s="94">
        <f t="shared" si="18"/>
        <v>6.6186186818838202</v>
      </c>
    </row>
    <row r="134" spans="1:19" hidden="1" outlineLevel="1" x14ac:dyDescent="0.2">
      <c r="A134" s="70" t="str">
        <f>Indexes!A134</f>
        <v>58Y</v>
      </c>
      <c r="B134" s="71">
        <f>_xll.qlIndexFixing(Indexes!B134,FixingDate,TRUE,InterestRatesTrigger)</f>
        <v>1.9914111493634503E-2</v>
      </c>
      <c r="C134" s="71">
        <f>_xll.qlIndexFixing(Indexes!C134,FixingDate,TRUE,InterestRatesTrigger)</f>
        <v>2.0552308801000237E-2</v>
      </c>
      <c r="D134" s="72">
        <f>_xll.qlIndexFixing(Indexes!D134,FixingDate,TRUE,InterestRatesTrigger)</f>
        <v>2.0985931920670359E-2</v>
      </c>
      <c r="E134" s="73">
        <f>_xll.qlIndexFixing(Indexes!E134,FixingDate,TRUE,InterestRatesTrigger)</f>
        <v>2.1643756316563446E-2</v>
      </c>
      <c r="G134" s="165">
        <f t="shared" si="12"/>
        <v>-2.9156835255159143E-3</v>
      </c>
      <c r="H134" s="166">
        <f t="shared" ref="H134:J136" si="20">C134-M134</f>
        <v>-3.4076837692201406E-3</v>
      </c>
      <c r="I134" s="166">
        <f t="shared" si="20"/>
        <v>-3.5039923960287316E-3</v>
      </c>
      <c r="J134" s="167">
        <f t="shared" si="20"/>
        <v>-3.5061945052638939E-3</v>
      </c>
      <c r="K134" s="93">
        <v>58</v>
      </c>
      <c r="L134" s="180">
        <v>2.2829795019150417E-2</v>
      </c>
      <c r="M134" s="184">
        <v>2.3959992570220377E-2</v>
      </c>
      <c r="N134" s="184">
        <v>2.448992431669909E-2</v>
      </c>
      <c r="O134" s="182">
        <v>2.514995082182734E-2</v>
      </c>
      <c r="P134" s="98"/>
      <c r="Q134" s="94">
        <f t="shared" si="17"/>
        <v>4.3362311967012204</v>
      </c>
      <c r="R134" s="94">
        <f t="shared" si="19"/>
        <v>10.718204270358557</v>
      </c>
      <c r="S134" s="94">
        <f t="shared" si="18"/>
        <v>6.5782439589308694</v>
      </c>
    </row>
    <row r="135" spans="1:19" hidden="1" outlineLevel="1" x14ac:dyDescent="0.2">
      <c r="A135" s="70" t="str">
        <f>Indexes!A135</f>
        <v>59Y</v>
      </c>
      <c r="B135" s="71">
        <f>_xll.qlIndexFixing(Indexes!B135,FixingDate,TRUE,InterestRatesTrigger)</f>
        <v>1.9932391792045506E-2</v>
      </c>
      <c r="C135" s="71">
        <f>_xll.qlIndexFixing(Indexes!C135,FixingDate,TRUE,InterestRatesTrigger)</f>
        <v>2.0566407962940854E-2</v>
      </c>
      <c r="D135" s="72">
        <f>_xll.qlIndexFixing(Indexes!D135,FixingDate,TRUE,InterestRatesTrigger)</f>
        <v>2.0998163428239867E-2</v>
      </c>
      <c r="E135" s="73">
        <f>_xll.qlIndexFixing(Indexes!E135,FixingDate,TRUE,InterestRatesTrigger)</f>
        <v>2.1652016065049833E-2</v>
      </c>
      <c r="G135" s="165">
        <f>B135-L135</f>
        <v>-2.9330927718098643E-3</v>
      </c>
      <c r="H135" s="166">
        <f t="shared" si="20"/>
        <v>-3.4322358289595109E-3</v>
      </c>
      <c r="I135" s="166">
        <f t="shared" si="20"/>
        <v>-3.5273692066016202E-3</v>
      </c>
      <c r="J135" s="167">
        <f t="shared" si="20"/>
        <v>-3.5335243528891273E-3</v>
      </c>
      <c r="K135" s="93">
        <v>59</v>
      </c>
      <c r="L135" s="180">
        <v>2.2865484563855371E-2</v>
      </c>
      <c r="M135" s="184">
        <v>2.3998643791900365E-2</v>
      </c>
      <c r="N135" s="184">
        <v>2.4525532634841488E-2</v>
      </c>
      <c r="O135" s="182">
        <v>2.5185540417938961E-2</v>
      </c>
      <c r="P135" s="98"/>
      <c r="Q135" s="94">
        <f t="shared" si="17"/>
        <v>4.3175546529901352</v>
      </c>
      <c r="R135" s="94">
        <f t="shared" si="19"/>
        <v>10.657716361943612</v>
      </c>
      <c r="S135" s="94">
        <f t="shared" si="18"/>
        <v>6.5385263680996575</v>
      </c>
    </row>
    <row r="136" spans="1:19" collapsed="1" x14ac:dyDescent="0.2">
      <c r="A136" s="61" t="str">
        <f>Indexes!A136</f>
        <v>60Y</v>
      </c>
      <c r="B136" s="62">
        <f>_xll.qlIndexFixing(Indexes!B136,FixingDate,TRUE,InterestRatesTrigger)</f>
        <v>1.9949999999999964E-2</v>
      </c>
      <c r="C136" s="62">
        <f>_xll.qlIndexFixing(Indexes!C136,FixingDate,TRUE,InterestRatesTrigger)</f>
        <v>2.0579999999981734E-2</v>
      </c>
      <c r="D136" s="63">
        <f>_xll.qlIndexFixing(Indexes!D136,FixingDate,TRUE,InterestRatesTrigger)</f>
        <v>2.1010000000000004E-2</v>
      </c>
      <c r="E136" s="64">
        <f>_xll.qlIndexFixing(Indexes!E136,FixingDate,TRUE,InterestRatesTrigger)</f>
        <v>2.1660000000030204E-2</v>
      </c>
      <c r="G136" s="168">
        <f>B136-L136</f>
        <v>-2.9500000000358476E-3</v>
      </c>
      <c r="H136" s="169">
        <f t="shared" si="20"/>
        <v>-3.4560000000182882E-3</v>
      </c>
      <c r="I136" s="169">
        <f t="shared" si="20"/>
        <v>-3.5500000000274999E-3</v>
      </c>
      <c r="J136" s="170">
        <f t="shared" si="20"/>
        <v>-3.560000000012855E-3</v>
      </c>
      <c r="K136" s="93">
        <v>60</v>
      </c>
      <c r="L136" s="174">
        <v>2.2900000000035812E-2</v>
      </c>
      <c r="M136" s="185">
        <v>2.4036000000000023E-2</v>
      </c>
      <c r="N136" s="185">
        <v>2.4560000000027504E-2</v>
      </c>
      <c r="O136" s="176">
        <v>2.5220000000043059E-2</v>
      </c>
      <c r="P136" s="98"/>
      <c r="Q136" s="94">
        <f>(D136-C136)*10000</f>
        <v>4.300000000182699</v>
      </c>
      <c r="R136" s="94">
        <f t="shared" si="19"/>
        <v>10.600000000000401</v>
      </c>
      <c r="S136" s="94">
        <f>(E136-D136)*10000</f>
        <v>6.5000000003019931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U1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50" sqref="H50"/>
    </sheetView>
  </sheetViews>
  <sheetFormatPr defaultRowHeight="11.25" outlineLevelRow="1" outlineLevelCol="1" x14ac:dyDescent="0.2"/>
  <cols>
    <col min="1" max="1" width="10" style="3" bestFit="1" customWidth="1"/>
    <col min="2" max="2" width="17.28515625" style="3" bestFit="1" customWidth="1"/>
    <col min="3" max="3" width="17.28515625" style="3" customWidth="1"/>
    <col min="4" max="5" width="17.28515625" style="3" bestFit="1" customWidth="1"/>
    <col min="6" max="6" width="2.28515625" style="3" hidden="1" customWidth="1" outlineLevel="1"/>
    <col min="7" max="7" width="19.28515625" style="3" hidden="1" customWidth="1" outlineLevel="1"/>
    <col min="8" max="8" width="11" style="3" hidden="1" customWidth="1" outlineLevel="1"/>
    <col min="9" max="9" width="9" style="3" hidden="1" customWidth="1" outlineLevel="1"/>
    <col min="10" max="10" width="19.28515625" style="3" hidden="1" customWidth="1" outlineLevel="1"/>
    <col min="11" max="12" width="7.7109375" style="3" hidden="1" customWidth="1" outlineLevel="1"/>
    <col min="13" max="13" width="19.28515625" style="3" hidden="1" customWidth="1" outlineLevel="1"/>
    <col min="14" max="15" width="7.7109375" style="3" hidden="1" customWidth="1" outlineLevel="1"/>
    <col min="16" max="16" width="18.28515625" style="3" hidden="1" customWidth="1" outlineLevel="1"/>
    <col min="17" max="18" width="7.7109375" style="3" hidden="1" customWidth="1" outlineLevel="1"/>
    <col min="19" max="19" width="3.42578125" style="3" customWidth="1" collapsed="1"/>
    <col min="20" max="20" width="4.140625" style="3" hidden="1" customWidth="1" outlineLevel="1"/>
    <col min="21" max="21" width="20.140625" style="3" hidden="1" customWidth="1" outlineLevel="1"/>
    <col min="22" max="23" width="7.85546875" style="3" hidden="1" customWidth="1" outlineLevel="1"/>
    <col min="24" max="24" width="15.140625" style="3" hidden="1" customWidth="1" outlineLevel="1"/>
    <col min="25" max="26" width="7.85546875" style="3" hidden="1" customWidth="1" outlineLevel="1"/>
    <col min="27" max="27" width="15.140625" style="3" hidden="1" customWidth="1" outlineLevel="1"/>
    <col min="28" max="29" width="7.85546875" style="3" hidden="1" customWidth="1" outlineLevel="1"/>
    <col min="30" max="30" width="15.140625" style="3" hidden="1" customWidth="1" outlineLevel="1"/>
    <col min="31" max="32" width="7.85546875" style="3" hidden="1" customWidth="1" outlineLevel="1"/>
    <col min="33" max="33" width="9.140625" style="3" collapsed="1"/>
    <col min="34" max="35" width="9.140625" style="3"/>
    <col min="36" max="36" width="1.7109375" style="3" customWidth="1"/>
    <col min="37" max="38" width="9.140625" style="3"/>
    <col min="39" max="39" width="2" style="3" customWidth="1"/>
    <col min="40" max="41" width="9.140625" style="3"/>
    <col min="42" max="42" width="2.140625" style="3" customWidth="1"/>
    <col min="43" max="16384" width="9.140625" style="3"/>
  </cols>
  <sheetData>
    <row r="1" spans="1:47" x14ac:dyDescent="0.2">
      <c r="A1" s="2" t="s">
        <v>110</v>
      </c>
      <c r="B1" s="116" t="s">
        <v>99</v>
      </c>
      <c r="C1" s="134"/>
      <c r="D1" s="3" t="s">
        <v>121</v>
      </c>
    </row>
    <row r="2" spans="1:47" x14ac:dyDescent="0.2">
      <c r="A2" s="3">
        <v>0</v>
      </c>
      <c r="B2" s="116" t="s">
        <v>100</v>
      </c>
      <c r="C2" s="117" t="s">
        <v>101</v>
      </c>
      <c r="D2" s="1" t="s">
        <v>120</v>
      </c>
    </row>
    <row r="3" spans="1:47" x14ac:dyDescent="0.2">
      <c r="B3" s="1" t="s">
        <v>117</v>
      </c>
      <c r="C3" s="1" t="s">
        <v>118</v>
      </c>
      <c r="D3" s="1" t="s">
        <v>119</v>
      </c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47" x14ac:dyDescent="0.2">
      <c r="A4" s="118" t="s">
        <v>66</v>
      </c>
      <c r="B4" s="119" t="str">
        <f>G4</f>
        <v>EURYC1M</v>
      </c>
      <c r="C4" s="119" t="str">
        <f>J4</f>
        <v>EURYC3M</v>
      </c>
      <c r="D4" s="119" t="str">
        <f>M4</f>
        <v>EURYC6M</v>
      </c>
      <c r="E4" s="119" t="str">
        <f>P4</f>
        <v>EURYC1Y</v>
      </c>
      <c r="G4" s="120" t="str">
        <f>UPPER(Currency)&amp;"YC"&amp;_xll.qlPeriodEquivalent(G3&amp;"M")</f>
        <v>EURYC1M</v>
      </c>
      <c r="H4" s="121"/>
      <c r="I4" s="121"/>
      <c r="J4" s="122" t="str">
        <f>UPPER(Currency)&amp;"YC"&amp;_xll.qlPeriodEquivalent(J3&amp;"M")</f>
        <v>EURYC3M</v>
      </c>
      <c r="K4" s="121"/>
      <c r="L4" s="121"/>
      <c r="M4" s="122" t="str">
        <f>UPPER(Currency)&amp;"YC"&amp;_xll.qlPeriodEquivalent(M3&amp;"M")</f>
        <v>EURYC6M</v>
      </c>
      <c r="N4" s="121"/>
      <c r="O4" s="121"/>
      <c r="P4" s="122" t="str">
        <f>UPPER(Currency)&amp;"YC"&amp;_xll.qlPeriodEquivalent(P3&amp;"M")</f>
        <v>EURYC1Y</v>
      </c>
      <c r="Q4" s="121"/>
      <c r="R4" s="115"/>
      <c r="AH4" s="3" t="s">
        <v>63</v>
      </c>
      <c r="AK4" s="3" t="s">
        <v>64</v>
      </c>
      <c r="AN4" s="3" t="s">
        <v>65</v>
      </c>
      <c r="AQ4" s="3" t="s">
        <v>0</v>
      </c>
    </row>
    <row r="5" spans="1:47" x14ac:dyDescent="0.2">
      <c r="A5" s="66" t="str">
        <f>Pricing!$A5</f>
        <v>ON</v>
      </c>
      <c r="B5" s="214" t="str">
        <f>IF(Contribute="abcd",IF($A$2&lt;&gt;-1,_xll.RtContribute(SourceAlias,G5,Fields,H5:I5,"SCOPE:SERVER"),_xll.RtContribute(SourceAlias,"DDS_INSERT_S",$A$2:$C$2,G5:I5,"SCOPE:SERVER FTC:ALL")),"stopped")</f>
        <v>stopped</v>
      </c>
      <c r="C5" s="211"/>
      <c r="D5" s="211"/>
      <c r="E5" s="115"/>
      <c r="G5" s="114" t="str">
        <f>G$4&amp;"_"&amp;$A5&amp;"D"</f>
        <v>EURYC1M_OND</v>
      </c>
      <c r="H5" s="123">
        <f>IF(Pricing!$B5=0,Pricing!$B5*100+0.000001,Pricing!$B5*100)</f>
        <v>8.2818006802527627E-2</v>
      </c>
      <c r="I5" s="124">
        <f>H5</f>
        <v>8.2818006802527627E-2</v>
      </c>
      <c r="J5" s="114" t="str">
        <f>J$4&amp;"_"&amp;$A5&amp;"D"</f>
        <v>EURYC3M_OND</v>
      </c>
      <c r="K5" s="123">
        <f>Pricing!$C5*100</f>
        <v>7.8058456748881941E-2</v>
      </c>
      <c r="L5" s="124">
        <f>Pricing!$C5*100</f>
        <v>7.8058456748881941E-2</v>
      </c>
      <c r="M5" s="114" t="str">
        <f>M$4&amp;"_"&amp;$A5&amp;"D"</f>
        <v>EURYC6M_OND</v>
      </c>
      <c r="N5" s="123">
        <f>Pricing!$D5*100</f>
        <v>0.21602227143090175</v>
      </c>
      <c r="O5" s="124">
        <f>Pricing!$D5*100</f>
        <v>0.21602227143090175</v>
      </c>
      <c r="P5" s="114" t="str">
        <f>P$4&amp;"_"&amp;$A5&amp;"D"</f>
        <v>EURYC1Y_OND</v>
      </c>
      <c r="Q5" s="123">
        <f>Pricing!$E5*100</f>
        <v>0.37944017864443647</v>
      </c>
      <c r="R5" s="124">
        <f>Pricing!$E5*100</f>
        <v>0.37944017864443647</v>
      </c>
      <c r="U5" s="3" t="str">
        <f>_xll.RData(G5:G136,Fields,"RTFEED:"&amp;SourceAlias,,,V5)</f>
        <v>Paused at 08:41:19</v>
      </c>
      <c r="V5" s="123">
        <v>8.5496912999999994E-2</v>
      </c>
      <c r="W5" s="124">
        <v>8.5496912999999994E-2</v>
      </c>
      <c r="X5" s="3" t="str">
        <f>_xll.RData(J5:J136,Fields,"RTFEED:"&amp;SourceAlias,,,Y5)</f>
        <v>Paused at 08:41:19</v>
      </c>
      <c r="Y5" s="123">
        <v>1.261166</v>
      </c>
      <c r="Z5" s="124">
        <v>1.261166</v>
      </c>
      <c r="AA5" s="3" t="str">
        <f>_xll.RData(M5:M136,Fields,"RTFEED:"&amp;SourceAlias,,,AB5)</f>
        <v>Paused at 08:41:19</v>
      </c>
      <c r="AB5" s="123">
        <v>1.8037300000000001</v>
      </c>
      <c r="AC5" s="124">
        <v>1.8037300000000001</v>
      </c>
      <c r="AD5" s="3" t="str">
        <f>_xll.RData(P5:P136,Fields,"RTFEED:"&amp;SourceAlias,,,AE5)</f>
        <v>Paused at 08:41:19</v>
      </c>
      <c r="AE5" s="123">
        <v>1.957449</v>
      </c>
      <c r="AF5" s="124">
        <v>1.957449</v>
      </c>
      <c r="AH5" s="30">
        <f t="shared" ref="AH5:AH22" si="0">(V5-H5+W5-I5)/2</f>
        <v>2.6789061974723666E-3</v>
      </c>
      <c r="AI5" s="217"/>
      <c r="AJ5" s="217"/>
      <c r="AK5" s="30"/>
      <c r="AL5" s="217"/>
      <c r="AM5" s="217"/>
      <c r="AN5" s="30"/>
      <c r="AO5" s="217"/>
      <c r="AP5" s="217"/>
      <c r="AQ5" s="30"/>
      <c r="AR5" s="30"/>
      <c r="AS5" s="30"/>
      <c r="AT5" s="30"/>
      <c r="AU5" s="30"/>
    </row>
    <row r="6" spans="1:47" x14ac:dyDescent="0.2">
      <c r="A6" s="66" t="str">
        <f>Pricing!$A6</f>
        <v>TN</v>
      </c>
      <c r="B6" s="214" t="str">
        <f>IF(Contribute="abcd",IF($A$2&lt;&gt;-1,_xll.RtContribute(SourceAlias,G6,Fields,H6:I6,"SCOPE:SERVER"),_xll.RtContribute(SourceAlias,"DDS_INSERT_S",$A$2:$C$2,G6:I6,"SCOPE:SERVER FTC:ALL")),"stopped")</f>
        <v>stopped</v>
      </c>
      <c r="C6" s="211"/>
      <c r="D6" s="211"/>
      <c r="E6" s="115"/>
      <c r="G6" s="114" t="str">
        <f>G$4&amp;"_"&amp;$A6&amp;"D"</f>
        <v>EURYC1M_TND</v>
      </c>
      <c r="H6" s="123">
        <f>IF(Pricing!$B6=0,Pricing!$B6*100+0.000001,Pricing!$B6*100)</f>
        <v>7.5861580729520026E-2</v>
      </c>
      <c r="I6" s="124">
        <f t="shared" ref="I6:I69" si="1">H6</f>
        <v>7.5861580729520026E-2</v>
      </c>
      <c r="J6" s="114" t="str">
        <f>J$4&amp;"_"&amp;$A6&amp;"D"</f>
        <v>EURYC3M_TND</v>
      </c>
      <c r="K6" s="123">
        <f>Pricing!$C6*100</f>
        <v>7.8184897791253177E-2</v>
      </c>
      <c r="L6" s="124">
        <f>Pricing!$C6*100</f>
        <v>7.8184897791253177E-2</v>
      </c>
      <c r="M6" s="114" t="str">
        <f>M$4&amp;"_"&amp;$A6&amp;"D"</f>
        <v>EURYC6M_TND</v>
      </c>
      <c r="N6" s="123">
        <f>Pricing!$D6*100</f>
        <v>0.21599086473434917</v>
      </c>
      <c r="O6" s="124">
        <f>Pricing!$D6*100</f>
        <v>0.21599086473434917</v>
      </c>
      <c r="P6" s="114" t="str">
        <f>P$4&amp;"_"&amp;$A6&amp;"D"</f>
        <v>EURYC1Y_TND</v>
      </c>
      <c r="Q6" s="123">
        <f>Pricing!$E6*100</f>
        <v>0.37944126302384756</v>
      </c>
      <c r="R6" s="124">
        <f>Pricing!$E6*100</f>
        <v>0.37944126302384756</v>
      </c>
      <c r="V6" s="123">
        <v>7.8964356999999999E-2</v>
      </c>
      <c r="W6" s="124">
        <v>7.8964356999999999E-2</v>
      </c>
      <c r="Y6" s="123">
        <v>1.261155</v>
      </c>
      <c r="Z6" s="124">
        <v>1.261155</v>
      </c>
      <c r="AB6" s="123">
        <v>1.803688</v>
      </c>
      <c r="AC6" s="124">
        <v>1.803688</v>
      </c>
      <c r="AE6" s="123">
        <v>1.95743</v>
      </c>
      <c r="AF6" s="124">
        <v>1.95743</v>
      </c>
      <c r="AH6" s="30">
        <f t="shared" si="0"/>
        <v>3.1027762704799733E-3</v>
      </c>
      <c r="AI6" s="217"/>
      <c r="AJ6" s="217"/>
      <c r="AK6" s="30"/>
      <c r="AL6" s="217"/>
      <c r="AM6" s="217"/>
      <c r="AN6" s="30"/>
      <c r="AO6" s="217"/>
      <c r="AP6" s="217"/>
      <c r="AQ6" s="30"/>
      <c r="AR6" s="30"/>
      <c r="AS6" s="30"/>
      <c r="AT6" s="30"/>
      <c r="AU6" s="30"/>
    </row>
    <row r="7" spans="1:47" x14ac:dyDescent="0.2">
      <c r="A7" s="55" t="str">
        <f>Pricing!$A7</f>
        <v>SN</v>
      </c>
      <c r="B7" s="215" t="str">
        <f>IF(Contribute="abcd",IF($A$2&lt;&gt;-1,_xll.RtContribute(SourceAlias,G7,Fields,H7:I7,"SCOPE:SERVER"),_xll.RtContribute(SourceAlias,"DDS_INSERT_S",$A$2:$C$2,G7:I7,"SCOPE:SERVER FTC:ALL")),"stopped")</f>
        <v>stopped</v>
      </c>
      <c r="C7" s="210"/>
      <c r="D7" s="210"/>
      <c r="E7" s="125"/>
      <c r="G7" s="4" t="str">
        <f>G$4&amp;"_"&amp;$A7&amp;"D"</f>
        <v>EURYC1M_SND</v>
      </c>
      <c r="H7" s="126">
        <f>IF(Pricing!$B7=0,Pricing!$B7*100+0.000001,Pricing!$B7*100)</f>
        <v>6.7700000000670002E-2</v>
      </c>
      <c r="I7" s="127">
        <f t="shared" si="1"/>
        <v>6.7700000000670002E-2</v>
      </c>
      <c r="J7" s="4" t="str">
        <f>J$4&amp;"_"&amp;$A7&amp;"D"</f>
        <v>EURYC3M_SND</v>
      </c>
      <c r="K7" s="126">
        <f>Pricing!$C7*100</f>
        <v>7.8294674882073423E-2</v>
      </c>
      <c r="L7" s="127">
        <f>Pricing!$C7*100</f>
        <v>7.8294674882073423E-2</v>
      </c>
      <c r="M7" s="4" t="str">
        <f>M$4&amp;"_"&amp;$A7&amp;"D"</f>
        <v>EURYC6M_SND</v>
      </c>
      <c r="N7" s="126">
        <f>Pricing!$D7*100</f>
        <v>0.21596312903859882</v>
      </c>
      <c r="O7" s="127">
        <f>Pricing!$D7*100</f>
        <v>0.21596312903859882</v>
      </c>
      <c r="P7" s="4" t="str">
        <f>P$4&amp;"_"&amp;$A7&amp;"D"</f>
        <v>EURYC1Y_SND</v>
      </c>
      <c r="Q7" s="126">
        <f>Pricing!$E7*100</f>
        <v>0.37944233231712587</v>
      </c>
      <c r="R7" s="127">
        <f>Pricing!$E7*100</f>
        <v>0.37944233231712587</v>
      </c>
      <c r="V7" s="126">
        <v>7.0699999999999999E-2</v>
      </c>
      <c r="W7" s="127">
        <v>7.0699999999999999E-2</v>
      </c>
      <c r="Y7" s="126">
        <v>1.261153</v>
      </c>
      <c r="Z7" s="127">
        <v>1.261153</v>
      </c>
      <c r="AB7" s="126">
        <v>1.8036620000000001</v>
      </c>
      <c r="AC7" s="127">
        <v>1.8036620000000001</v>
      </c>
      <c r="AE7" s="126">
        <v>1.9574149999999999</v>
      </c>
      <c r="AF7" s="127">
        <v>1.9574149999999999</v>
      </c>
      <c r="AH7" s="30">
        <f t="shared" si="0"/>
        <v>2.9999999993299969E-3</v>
      </c>
      <c r="AI7" s="217"/>
      <c r="AJ7" s="217"/>
      <c r="AK7" s="30"/>
      <c r="AL7" s="217"/>
      <c r="AM7" s="217"/>
      <c r="AN7" s="30"/>
      <c r="AO7" s="217"/>
      <c r="AP7" s="217"/>
      <c r="AQ7" s="30"/>
      <c r="AR7" s="30"/>
      <c r="AS7" s="30"/>
      <c r="AT7" s="30"/>
      <c r="AU7" s="30"/>
    </row>
    <row r="8" spans="1:47" x14ac:dyDescent="0.2">
      <c r="A8" s="70" t="str">
        <f>Pricing!$A8</f>
        <v>SW</v>
      </c>
      <c r="B8" s="208" t="str">
        <f>IF(Contribute="abcd",IF($A$2&lt;&gt;-1,_xll.RtContribute(SourceAlias,G8,Fields,H8:I8,"SCOPE:SERVER"),_xll.RtContribute(SourceAlias,"DDS_INSERT_S",$A$2:$C$2,G8:I8,"SCOPE:SERVER FTC:ALL")),"stopped")</f>
        <v>stopped</v>
      </c>
      <c r="C8" s="205"/>
      <c r="D8" s="205"/>
      <c r="E8" s="93"/>
      <c r="G8" s="128" t="str">
        <f t="shared" ref="G8:G30" si="2">G$4&amp;"_"&amp;$A8&amp;"D"</f>
        <v>EURYC1M_SWD</v>
      </c>
      <c r="H8" s="129">
        <f>IF(Pricing!$B8=0,Pricing!$B8*100+0.000001,Pricing!$B8*100)</f>
        <v>2.5399999999287104E-2</v>
      </c>
      <c r="I8" s="130">
        <f t="shared" si="1"/>
        <v>2.5399999999287104E-2</v>
      </c>
      <c r="J8" s="128" t="str">
        <f t="shared" ref="J8:J30" si="3">J$4&amp;"_"&amp;$A8&amp;"D"</f>
        <v>EURYC3M_SWD</v>
      </c>
      <c r="K8" s="129">
        <f>Pricing!$C8*100</f>
        <v>7.9536575731279202E-2</v>
      </c>
      <c r="L8" s="130">
        <f>Pricing!$C8*100</f>
        <v>7.9536575731279202E-2</v>
      </c>
      <c r="M8" s="128" t="str">
        <f t="shared" ref="M8:M30" si="4">M$4&amp;"_"&amp;$A8&amp;"D"</f>
        <v>EURYC6M_SWD</v>
      </c>
      <c r="N8" s="129">
        <f>Pricing!$D8*100</f>
        <v>0.21566822983601747</v>
      </c>
      <c r="O8" s="130">
        <f>Pricing!$D8*100</f>
        <v>0.21566822983601747</v>
      </c>
      <c r="P8" s="128" t="str">
        <f t="shared" ref="P8:P22" si="5">P$4&amp;"_"&amp;$A8&amp;"D"</f>
        <v>EURYC1Y_SWD</v>
      </c>
      <c r="Q8" s="129">
        <f>Pricing!$E8*100</f>
        <v>0.3794492760914433</v>
      </c>
      <c r="R8" s="130">
        <f>Pricing!$E8*100</f>
        <v>0.3794492760914433</v>
      </c>
      <c r="V8" s="129">
        <v>2.76E-2</v>
      </c>
      <c r="W8" s="130">
        <v>2.76E-2</v>
      </c>
      <c r="Y8" s="129">
        <v>1.2608220000000001</v>
      </c>
      <c r="Z8" s="130">
        <v>1.2608220000000001</v>
      </c>
      <c r="AB8" s="129">
        <v>1.8029299999999999</v>
      </c>
      <c r="AC8" s="130">
        <v>1.8029299999999999</v>
      </c>
      <c r="AE8" s="129">
        <v>1.9571460000000001</v>
      </c>
      <c r="AF8" s="130">
        <v>1.9571460000000001</v>
      </c>
      <c r="AH8" s="30">
        <f t="shared" si="0"/>
        <v>2.2000000007128956E-3</v>
      </c>
      <c r="AI8" s="217"/>
      <c r="AJ8" s="217"/>
      <c r="AK8" s="30"/>
      <c r="AL8" s="217"/>
      <c r="AM8" s="217"/>
      <c r="AN8" s="30"/>
      <c r="AO8" s="217"/>
      <c r="AP8" s="217"/>
      <c r="AQ8" s="30"/>
      <c r="AR8" s="30"/>
      <c r="AS8" s="30"/>
      <c r="AT8" s="30"/>
      <c r="AU8" s="30"/>
    </row>
    <row r="9" spans="1:47" x14ac:dyDescent="0.2">
      <c r="A9" s="70" t="str">
        <f>Pricing!$A9</f>
        <v>2W</v>
      </c>
      <c r="B9" s="208" t="str">
        <f>IF(Contribute="abcd",IF($A$2&lt;&gt;-1,_xll.RtContribute(SourceAlias,G9,Fields,H9:I9,"SCOPE:SERVER"),_xll.RtContribute(SourceAlias,"DDS_INSERT_S",$A$2:$C$2,G9:I9,"SCOPE:SERVER FTC:ALL")),"stopped")</f>
        <v>stopped</v>
      </c>
      <c r="C9" s="205"/>
      <c r="D9" s="205"/>
      <c r="E9" s="93"/>
      <c r="G9" s="128" t="str">
        <f t="shared" si="2"/>
        <v>EURYC1M_2WD</v>
      </c>
      <c r="H9" s="129">
        <f>IF(Pricing!$B9=0,Pricing!$B9*100+0.000001,Pricing!$B9*100)</f>
        <v>2.0499999998107348E-2</v>
      </c>
      <c r="I9" s="130">
        <f t="shared" si="1"/>
        <v>2.0499999998107348E-2</v>
      </c>
      <c r="J9" s="128" t="str">
        <f t="shared" si="3"/>
        <v>EURYC3M_2WD</v>
      </c>
      <c r="K9" s="129">
        <f>Pricing!$C9*100</f>
        <v>8.4099999997747477E-2</v>
      </c>
      <c r="L9" s="130">
        <f>Pricing!$C9*100</f>
        <v>8.4099999997747477E-2</v>
      </c>
      <c r="M9" s="128" t="str">
        <f t="shared" si="4"/>
        <v>EURYC6M_2WD</v>
      </c>
      <c r="N9" s="129">
        <f>Pricing!$D9*100</f>
        <v>0.21457942939249819</v>
      </c>
      <c r="O9" s="130">
        <f>Pricing!$D9*100</f>
        <v>0.21457942939249819</v>
      </c>
      <c r="P9" s="128" t="str">
        <f t="shared" si="5"/>
        <v>EURYC1Y_2WD</v>
      </c>
      <c r="Q9" s="129">
        <f>Pricing!$E9*100</f>
        <v>0.37945939710404275</v>
      </c>
      <c r="R9" s="130">
        <f>Pricing!$E9*100</f>
        <v>0.37945939710404275</v>
      </c>
      <c r="V9" s="129">
        <v>2.5499999999999998E-2</v>
      </c>
      <c r="W9" s="130">
        <v>2.5499999999999998E-2</v>
      </c>
      <c r="Y9" s="129">
        <v>1.2566839999999999</v>
      </c>
      <c r="Z9" s="130">
        <v>1.2566839999999999</v>
      </c>
      <c r="AB9" s="129">
        <v>1.7975099999999999</v>
      </c>
      <c r="AC9" s="130">
        <v>1.7975099999999999</v>
      </c>
      <c r="AE9" s="129">
        <v>1.9557450000000001</v>
      </c>
      <c r="AF9" s="130">
        <v>1.9557450000000001</v>
      </c>
      <c r="AH9" s="30">
        <f t="shared" si="0"/>
        <v>5.0000000018926502E-3</v>
      </c>
      <c r="AI9" s="217"/>
      <c r="AJ9" s="217"/>
      <c r="AK9" s="30"/>
      <c r="AL9" s="217"/>
      <c r="AM9" s="217"/>
      <c r="AN9" s="30"/>
      <c r="AO9" s="217"/>
      <c r="AP9" s="217"/>
      <c r="AQ9" s="30"/>
      <c r="AR9" s="30"/>
      <c r="AS9" s="30"/>
      <c r="AT9" s="30"/>
      <c r="AU9" s="30"/>
    </row>
    <row r="10" spans="1:47" x14ac:dyDescent="0.2">
      <c r="A10" s="61" t="str">
        <f>Pricing!$A10</f>
        <v>3W</v>
      </c>
      <c r="B10" s="216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207"/>
      <c r="D10" s="207"/>
      <c r="E10" s="99"/>
      <c r="G10" s="131" t="str">
        <f t="shared" si="2"/>
        <v>EURYC1M_3WD</v>
      </c>
      <c r="H10" s="132">
        <f>IF(Pricing!$B10=0,Pricing!$B10*100+0.000001,Pricing!$B10*100)</f>
        <v>1.9599999999009299E-2</v>
      </c>
      <c r="I10" s="133">
        <f t="shared" si="1"/>
        <v>1.9599999999009299E-2</v>
      </c>
      <c r="J10" s="131" t="str">
        <f t="shared" si="3"/>
        <v>EURYC3M_3WD</v>
      </c>
      <c r="K10" s="132">
        <f>Pricing!$C10*100</f>
        <v>8.7999999999739079E-2</v>
      </c>
      <c r="L10" s="133">
        <f>Pricing!$C10*100</f>
        <v>8.7999999999739079E-2</v>
      </c>
      <c r="M10" s="131" t="str">
        <f t="shared" si="4"/>
        <v>EURYC6M_3WD</v>
      </c>
      <c r="N10" s="132">
        <f>Pricing!$D10*100</f>
        <v>0.21276162699151208</v>
      </c>
      <c r="O10" s="133">
        <f>Pricing!$D10*100</f>
        <v>0.21276162699151208</v>
      </c>
      <c r="P10" s="131" t="str">
        <f t="shared" si="5"/>
        <v>EURYC1Y_3WD</v>
      </c>
      <c r="Q10" s="132">
        <f>Pricing!$E10*100</f>
        <v>0.3794669332342388</v>
      </c>
      <c r="R10" s="133">
        <f>Pricing!$E10*100</f>
        <v>0.3794669332342388</v>
      </c>
      <c r="V10" s="132">
        <v>2.35E-2</v>
      </c>
      <c r="W10" s="133">
        <v>2.35E-2</v>
      </c>
      <c r="Y10" s="132">
        <v>1.244982</v>
      </c>
      <c r="Z10" s="133">
        <v>1.244982</v>
      </c>
      <c r="AB10" s="132">
        <v>1.7845249999999999</v>
      </c>
      <c r="AC10" s="133">
        <v>1.7845249999999999</v>
      </c>
      <c r="AE10" s="132">
        <v>1.95316</v>
      </c>
      <c r="AF10" s="133">
        <v>1.95316</v>
      </c>
      <c r="AH10" s="30">
        <f t="shared" si="0"/>
        <v>3.9000000009907013E-3</v>
      </c>
      <c r="AI10" s="217"/>
      <c r="AJ10" s="217"/>
      <c r="AK10" s="30"/>
      <c r="AL10" s="217"/>
      <c r="AM10" s="217"/>
      <c r="AN10" s="30"/>
      <c r="AO10" s="217"/>
      <c r="AP10" s="217"/>
      <c r="AQ10" s="30"/>
      <c r="AR10" s="30"/>
      <c r="AS10" s="30"/>
      <c r="AT10" s="30"/>
      <c r="AU10" s="30"/>
    </row>
    <row r="11" spans="1:47" x14ac:dyDescent="0.2">
      <c r="A11" s="70" t="str">
        <f>Pricing!$A11</f>
        <v>1M</v>
      </c>
      <c r="B11" s="208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205"/>
      <c r="D11" s="205"/>
      <c r="E11" s="93"/>
      <c r="G11" s="128" t="str">
        <f t="shared" si="2"/>
        <v>EURYC1M_1MD</v>
      </c>
      <c r="H11" s="129">
        <f>IF(Pricing!$B11=0,Pricing!$B11*100+0.000001,Pricing!$B11*100)</f>
        <v>8.199999999788125E-3</v>
      </c>
      <c r="I11" s="130">
        <f t="shared" si="1"/>
        <v>8.199999999788125E-3</v>
      </c>
      <c r="J11" s="128" t="str">
        <f t="shared" si="3"/>
        <v>EURYC3M_1MD</v>
      </c>
      <c r="K11" s="129">
        <f>Pricing!$C11*100</f>
        <v>8.2499999997736259E-2</v>
      </c>
      <c r="L11" s="130">
        <f>Pricing!$C11*100</f>
        <v>8.2499999997736259E-2</v>
      </c>
      <c r="M11" s="128" t="str">
        <f t="shared" si="4"/>
        <v>EURYC6M_1MD</v>
      </c>
      <c r="N11" s="129">
        <f>Pricing!$D11*100</f>
        <v>0.20889999999996711</v>
      </c>
      <c r="O11" s="130">
        <f>Pricing!$D11*100</f>
        <v>0.20889999999996711</v>
      </c>
      <c r="P11" s="128" t="str">
        <f t="shared" si="5"/>
        <v>EURYC1Y_1MD</v>
      </c>
      <c r="Q11" s="129">
        <f>Pricing!$E11*100</f>
        <v>0.37947321401913864</v>
      </c>
      <c r="R11" s="130">
        <f>Pricing!$E11*100</f>
        <v>0.37947321401913864</v>
      </c>
      <c r="V11" s="129">
        <v>0.01</v>
      </c>
      <c r="W11" s="130">
        <v>0.01</v>
      </c>
      <c r="Y11" s="129">
        <v>1.225301</v>
      </c>
      <c r="Z11" s="130">
        <v>1.225301</v>
      </c>
      <c r="AB11" s="129">
        <v>1.763012</v>
      </c>
      <c r="AC11" s="130">
        <v>1.763012</v>
      </c>
      <c r="AE11" s="129">
        <v>1.9474100000000001</v>
      </c>
      <c r="AF11" s="130">
        <v>1.9474100000000001</v>
      </c>
      <c r="AH11" s="30">
        <f t="shared" si="0"/>
        <v>1.8000000002118752E-3</v>
      </c>
      <c r="AI11" s="217"/>
      <c r="AJ11" s="217"/>
      <c r="AK11" s="30"/>
      <c r="AL11" s="217"/>
      <c r="AM11" s="217"/>
      <c r="AN11" s="30"/>
      <c r="AO11" s="217"/>
      <c r="AP11" s="217"/>
      <c r="AQ11" s="30"/>
      <c r="AR11" s="30"/>
      <c r="AS11" s="30"/>
      <c r="AT11" s="30"/>
      <c r="AU11" s="30"/>
    </row>
    <row r="12" spans="1:47" x14ac:dyDescent="0.2">
      <c r="A12" s="70" t="str">
        <f>Pricing!$A12</f>
        <v>2M</v>
      </c>
      <c r="B12" s="208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205"/>
      <c r="D12" s="205"/>
      <c r="E12" s="93"/>
      <c r="G12" s="128" t="str">
        <f t="shared" ref="G12:G21" si="6">Currency&amp;"X1S"&amp;A12&amp;"="</f>
        <v>EURX1S2M=</v>
      </c>
      <c r="H12" s="129">
        <f>IF(Pricing!$B12=0,Pricing!$B12*100+0.000001,Pricing!$B12*100)</f>
        <v>3.0002572198454202E-3</v>
      </c>
      <c r="I12" s="130">
        <f t="shared" si="1"/>
        <v>3.0002572198454202E-3</v>
      </c>
      <c r="J12" s="128" t="str">
        <f t="shared" si="3"/>
        <v>EURYC3M_2MD</v>
      </c>
      <c r="K12" s="129">
        <f>Pricing!$C12*100</f>
        <v>8.6199999986853709E-2</v>
      </c>
      <c r="L12" s="130">
        <f>Pricing!$C12*100</f>
        <v>8.6199999986853709E-2</v>
      </c>
      <c r="M12" s="128" t="str">
        <f t="shared" si="4"/>
        <v>EURYC6M_2MD</v>
      </c>
      <c r="N12" s="129">
        <f>Pricing!$D12*100</f>
        <v>0.19670000000004961</v>
      </c>
      <c r="O12" s="130">
        <f>Pricing!$D12*100</f>
        <v>0.19670000000004961</v>
      </c>
      <c r="P12" s="128" t="str">
        <f t="shared" si="5"/>
        <v>EURYC1Y_2MD</v>
      </c>
      <c r="Q12" s="129">
        <f>Pricing!$E12*100</f>
        <v>0.37946038105833785</v>
      </c>
      <c r="R12" s="130">
        <f>Pricing!$E12*100</f>
        <v>0.37946038105833785</v>
      </c>
      <c r="V12" s="129">
        <v>3.00031E-3</v>
      </c>
      <c r="W12" s="130">
        <v>3.00031E-3</v>
      </c>
      <c r="Y12" s="129">
        <v>1.1564239999999999</v>
      </c>
      <c r="Z12" s="130">
        <v>1.1564239999999999</v>
      </c>
      <c r="AB12" s="129">
        <v>1.688823</v>
      </c>
      <c r="AC12" s="130">
        <v>1.688823</v>
      </c>
      <c r="AE12" s="129">
        <v>1.922838</v>
      </c>
      <c r="AF12" s="130">
        <v>1.922838</v>
      </c>
      <c r="AH12" s="30">
        <f t="shared" si="0"/>
        <v>5.2780154579778332E-8</v>
      </c>
      <c r="AI12" s="217"/>
      <c r="AJ12" s="217"/>
      <c r="AK12" s="30"/>
      <c r="AL12" s="217"/>
      <c r="AM12" s="217"/>
      <c r="AN12" s="30"/>
      <c r="AO12" s="217"/>
      <c r="AP12" s="217"/>
      <c r="AQ12" s="30"/>
      <c r="AR12" s="30"/>
      <c r="AS12" s="30"/>
      <c r="AT12" s="30"/>
      <c r="AU12" s="30"/>
    </row>
    <row r="13" spans="1:47" x14ac:dyDescent="0.2">
      <c r="A13" s="70" t="str">
        <f>Pricing!$A13</f>
        <v>3M</v>
      </c>
      <c r="B13" s="208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205"/>
      <c r="D13" s="205"/>
      <c r="E13" s="93"/>
      <c r="G13" s="128" t="str">
        <f t="shared" si="6"/>
        <v>EURX1S3M=</v>
      </c>
      <c r="H13" s="129">
        <f>IF(Pricing!$B13=0,Pricing!$B13*100+0.000001,Pricing!$B13*100)</f>
        <v>3.0002914666111755E-3</v>
      </c>
      <c r="I13" s="130">
        <f t="shared" si="1"/>
        <v>3.0002914666111755E-3</v>
      </c>
      <c r="J13" s="128" t="str">
        <f t="shared" si="3"/>
        <v>EURYC3M_3MD</v>
      </c>
      <c r="K13" s="129">
        <f>Pricing!$C13*100</f>
        <v>8.715839889307353E-2</v>
      </c>
      <c r="L13" s="130">
        <f>Pricing!$C13*100</f>
        <v>8.715839889307353E-2</v>
      </c>
      <c r="M13" s="128" t="str">
        <f t="shared" si="4"/>
        <v>EURYC6M_3MD</v>
      </c>
      <c r="N13" s="129">
        <f>Pricing!$D13*100</f>
        <v>0.19449999978314761</v>
      </c>
      <c r="O13" s="130">
        <f>Pricing!$D13*100</f>
        <v>0.19449999978314761</v>
      </c>
      <c r="P13" s="128" t="str">
        <f t="shared" si="5"/>
        <v>EURYC1Y_3MD</v>
      </c>
      <c r="Q13" s="129">
        <f>Pricing!$E13*100</f>
        <v>0.37940000010006814</v>
      </c>
      <c r="R13" s="130">
        <f>Pricing!$E13*100</f>
        <v>0.37940000010006814</v>
      </c>
      <c r="V13" s="129">
        <v>3.0003339999999999E-3</v>
      </c>
      <c r="W13" s="130">
        <v>3.0003339999999999E-3</v>
      </c>
      <c r="Y13" s="129">
        <v>1.0837749999999999</v>
      </c>
      <c r="Z13" s="130">
        <v>1.0837749999999999</v>
      </c>
      <c r="AB13" s="129">
        <v>1.610973</v>
      </c>
      <c r="AC13" s="130">
        <v>1.610973</v>
      </c>
      <c r="AE13" s="129">
        <v>1.8963159999999999</v>
      </c>
      <c r="AF13" s="130">
        <v>1.8963159999999999</v>
      </c>
      <c r="AH13" s="30">
        <f t="shared" si="0"/>
        <v>4.2533388824438773E-8</v>
      </c>
      <c r="AI13" s="217"/>
      <c r="AJ13" s="217"/>
      <c r="AK13" s="30"/>
      <c r="AL13" s="217"/>
      <c r="AM13" s="217"/>
      <c r="AN13" s="30"/>
      <c r="AO13" s="217"/>
      <c r="AP13" s="217"/>
      <c r="AQ13" s="30"/>
      <c r="AR13" s="30"/>
      <c r="AS13" s="30"/>
      <c r="AT13" s="30"/>
      <c r="AU13" s="30"/>
    </row>
    <row r="14" spans="1:47" x14ac:dyDescent="0.2">
      <c r="A14" s="70" t="str">
        <f>Pricing!$A14</f>
        <v>4M</v>
      </c>
      <c r="B14" s="208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59"/>
      <c r="D14" s="205"/>
      <c r="E14" s="93"/>
      <c r="G14" s="128" t="str">
        <f t="shared" si="6"/>
        <v>EURX1S4M=</v>
      </c>
      <c r="H14" s="129">
        <f>IF(Pricing!$B14=0,Pricing!$B14*100+0.000001,Pricing!$B14*100)</f>
        <v>4.0003579733362158E-3</v>
      </c>
      <c r="I14" s="130">
        <f t="shared" si="1"/>
        <v>4.0003579733362158E-3</v>
      </c>
      <c r="J14" s="128"/>
      <c r="K14" s="129"/>
      <c r="L14" s="130"/>
      <c r="M14" s="128" t="str">
        <f t="shared" si="4"/>
        <v>EURYC6M_4MD</v>
      </c>
      <c r="N14" s="129">
        <f>Pricing!$D14*100</f>
        <v>0.19309999997291852</v>
      </c>
      <c r="O14" s="130">
        <f>Pricing!$D14*100</f>
        <v>0.19309999997291852</v>
      </c>
      <c r="P14" s="128" t="str">
        <f t="shared" si="5"/>
        <v>EURYC1Y_4MD</v>
      </c>
      <c r="Q14" s="129">
        <f>Pricing!$E14*100</f>
        <v>0.37910382598650955</v>
      </c>
      <c r="R14" s="130">
        <f>Pricing!$E14*100</f>
        <v>0.37910382598650955</v>
      </c>
      <c r="V14" s="129">
        <v>3.0003790000000001E-3</v>
      </c>
      <c r="W14" s="130">
        <v>3.0003790000000001E-3</v>
      </c>
      <c r="Y14" s="129"/>
      <c r="Z14" s="130"/>
      <c r="AB14" s="129">
        <v>1.5295449999999999</v>
      </c>
      <c r="AC14" s="130">
        <v>1.5295449999999999</v>
      </c>
      <c r="AE14" s="129">
        <v>1.8696390000000001</v>
      </c>
      <c r="AF14" s="130">
        <v>1.8696390000000001</v>
      </c>
      <c r="AH14" s="30">
        <f t="shared" si="0"/>
        <v>-9.9997897333621577E-4</v>
      </c>
      <c r="AI14" s="217"/>
      <c r="AJ14" s="217"/>
      <c r="AK14" s="30"/>
      <c r="AL14" s="217"/>
      <c r="AM14" s="217"/>
      <c r="AN14" s="30"/>
      <c r="AO14" s="217"/>
      <c r="AP14" s="217"/>
      <c r="AQ14" s="30"/>
      <c r="AR14" s="30"/>
      <c r="AS14" s="30"/>
      <c r="AT14" s="30"/>
      <c r="AU14" s="30"/>
    </row>
    <row r="15" spans="1:47" x14ac:dyDescent="0.2">
      <c r="A15" s="70" t="str">
        <f>Pricing!$A15</f>
        <v>5M</v>
      </c>
      <c r="B15" s="208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59"/>
      <c r="D15" s="205"/>
      <c r="E15" s="93"/>
      <c r="G15" s="128" t="str">
        <f t="shared" si="6"/>
        <v>EURX1S5M=</v>
      </c>
      <c r="H15" s="129">
        <f>IF(Pricing!$B15=0,Pricing!$B15*100+0.000001,Pricing!$B15*100)</f>
        <v>4.0004913040798543E-3</v>
      </c>
      <c r="I15" s="130">
        <f t="shared" si="1"/>
        <v>4.0004913040798543E-3</v>
      </c>
      <c r="J15" s="128"/>
      <c r="K15" s="129"/>
      <c r="L15" s="130"/>
      <c r="M15" s="128" t="str">
        <f t="shared" si="4"/>
        <v>EURYC6M_5MD</v>
      </c>
      <c r="N15" s="129">
        <f>Pricing!$D15*100</f>
        <v>0.19079999998491479</v>
      </c>
      <c r="O15" s="130">
        <f>Pricing!$D15*100</f>
        <v>0.19079999998491479</v>
      </c>
      <c r="P15" s="128" t="str">
        <f t="shared" si="5"/>
        <v>EURYC1Y_5MD</v>
      </c>
      <c r="Q15" s="129">
        <f>Pricing!$E15*100</f>
        <v>0.3779516125759611</v>
      </c>
      <c r="R15" s="130">
        <f>Pricing!$E15*100</f>
        <v>0.3779516125759611</v>
      </c>
      <c r="V15" s="129">
        <v>3.0004559999999999E-3</v>
      </c>
      <c r="W15" s="130">
        <v>3.0004559999999999E-3</v>
      </c>
      <c r="Y15" s="129"/>
      <c r="Z15" s="130"/>
      <c r="AB15" s="129">
        <v>1.458394</v>
      </c>
      <c r="AC15" s="130">
        <v>1.458394</v>
      </c>
      <c r="AE15" s="129">
        <v>1.8481050000000001</v>
      </c>
      <c r="AF15" s="130">
        <v>1.8481050000000001</v>
      </c>
      <c r="AH15" s="30">
        <f t="shared" si="0"/>
        <v>-1.0000353040798544E-3</v>
      </c>
      <c r="AI15" s="217"/>
      <c r="AJ15" s="217"/>
      <c r="AK15" s="30"/>
      <c r="AL15" s="217"/>
      <c r="AM15" s="217"/>
      <c r="AN15" s="30"/>
      <c r="AO15" s="217"/>
      <c r="AP15" s="217"/>
      <c r="AQ15" s="30"/>
      <c r="AR15" s="30"/>
      <c r="AS15" s="30"/>
      <c r="AT15" s="30"/>
      <c r="AU15" s="30"/>
    </row>
    <row r="16" spans="1:47" x14ac:dyDescent="0.2">
      <c r="A16" s="70" t="str">
        <f>Pricing!$A16</f>
        <v>6M</v>
      </c>
      <c r="B16" s="208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59"/>
      <c r="D16" s="205"/>
      <c r="E16" s="93"/>
      <c r="G16" s="128" t="str">
        <f t="shared" si="6"/>
        <v>EURX1S6M=</v>
      </c>
      <c r="H16" s="129">
        <f>IF(Pricing!$B16=0,Pricing!$B16*100+0.000001,Pricing!$B16*100)</f>
        <v>5.000602062598304E-3</v>
      </c>
      <c r="I16" s="130">
        <f t="shared" si="1"/>
        <v>5.000602062598304E-3</v>
      </c>
      <c r="J16" s="128"/>
      <c r="K16" s="129"/>
      <c r="L16" s="130"/>
      <c r="M16" s="128" t="str">
        <f t="shared" si="4"/>
        <v>EURYC6M_6MD</v>
      </c>
      <c r="N16" s="129">
        <f>Pricing!$D16*100</f>
        <v>0.19049999999600026</v>
      </c>
      <c r="O16" s="130">
        <f>Pricing!$D16*100</f>
        <v>0.19049999999600026</v>
      </c>
      <c r="P16" s="128" t="str">
        <f t="shared" si="5"/>
        <v>EURYC1Y_6MD</v>
      </c>
      <c r="Q16" s="129">
        <f>Pricing!$E16*100</f>
        <v>0.37590000000000112</v>
      </c>
      <c r="R16" s="130">
        <f>Pricing!$E16*100</f>
        <v>0.37590000000000112</v>
      </c>
      <c r="V16" s="129">
        <v>4.0005379999999997E-3</v>
      </c>
      <c r="W16" s="130">
        <v>4.0005379999999997E-3</v>
      </c>
      <c r="Y16" s="129"/>
      <c r="Z16" s="130"/>
      <c r="AB16" s="129">
        <v>1.383848</v>
      </c>
      <c r="AC16" s="130">
        <v>1.383848</v>
      </c>
      <c r="AE16" s="129">
        <v>1.8266</v>
      </c>
      <c r="AF16" s="130">
        <v>1.8266</v>
      </c>
      <c r="AH16" s="30">
        <f t="shared" si="0"/>
        <v>-1.0000640625983043E-3</v>
      </c>
      <c r="AI16" s="217"/>
      <c r="AJ16" s="217"/>
      <c r="AK16" s="30"/>
      <c r="AL16" s="217"/>
      <c r="AM16" s="217"/>
      <c r="AN16" s="30"/>
      <c r="AO16" s="217"/>
      <c r="AP16" s="217"/>
      <c r="AQ16" s="30"/>
      <c r="AR16" s="30"/>
      <c r="AS16" s="30"/>
      <c r="AT16" s="30"/>
      <c r="AU16" s="30"/>
    </row>
    <row r="17" spans="1:47" x14ac:dyDescent="0.2">
      <c r="A17" s="70" t="str">
        <f>Pricing!$A17</f>
        <v>7M</v>
      </c>
      <c r="B17" s="208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59"/>
      <c r="D17" s="59"/>
      <c r="E17" s="93"/>
      <c r="G17" s="128" t="str">
        <f t="shared" si="6"/>
        <v>EURX1S7M=</v>
      </c>
      <c r="H17" s="129">
        <f>IF(Pricing!$B17=0,Pricing!$B17*100+0.000001,Pricing!$B17*100)</f>
        <v>3.0008050205074829E-3</v>
      </c>
      <c r="I17" s="130">
        <f t="shared" si="1"/>
        <v>3.0008050205074829E-3</v>
      </c>
      <c r="J17" s="128"/>
      <c r="K17" s="129"/>
      <c r="L17" s="130"/>
      <c r="M17" s="128"/>
      <c r="N17" s="129"/>
      <c r="O17" s="130"/>
      <c r="P17" s="128" t="str">
        <f t="shared" si="5"/>
        <v>EURYC1Y_7MD</v>
      </c>
      <c r="Q17" s="129">
        <f>Pricing!$E17*100</f>
        <v>0.37250203948009281</v>
      </c>
      <c r="R17" s="130">
        <f>Pricing!$E17*100</f>
        <v>0.37250203948009281</v>
      </c>
      <c r="V17" s="129">
        <v>2.000679E-3</v>
      </c>
      <c r="W17" s="130">
        <v>2.000679E-3</v>
      </c>
      <c r="Y17" s="129"/>
      <c r="Z17" s="130"/>
      <c r="AB17" s="129"/>
      <c r="AC17" s="130"/>
      <c r="AE17" s="129">
        <v>1.80566</v>
      </c>
      <c r="AF17" s="130">
        <v>1.80566</v>
      </c>
      <c r="AH17" s="30">
        <f t="shared" si="0"/>
        <v>-1.0001260205074829E-3</v>
      </c>
      <c r="AI17" s="217"/>
      <c r="AJ17" s="217"/>
      <c r="AK17" s="30"/>
      <c r="AL17" s="217"/>
      <c r="AM17" s="217"/>
      <c r="AN17" s="30"/>
      <c r="AO17" s="217"/>
      <c r="AP17" s="217"/>
      <c r="AQ17" s="30"/>
      <c r="AR17" s="30"/>
      <c r="AS17" s="30"/>
      <c r="AT17" s="30"/>
      <c r="AU17" s="30"/>
    </row>
    <row r="18" spans="1:47" x14ac:dyDescent="0.2">
      <c r="A18" s="70" t="str">
        <f>Pricing!$A18</f>
        <v>8M</v>
      </c>
      <c r="B18" s="208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59"/>
      <c r="D18" s="59"/>
      <c r="E18" s="93"/>
      <c r="G18" s="128" t="str">
        <f t="shared" si="6"/>
        <v>EURX1S8M=</v>
      </c>
      <c r="H18" s="129">
        <f>IF(Pricing!$B18=0,Pricing!$B18*100+0.000001,Pricing!$B18*100)</f>
        <v>1.0008440059196438E-3</v>
      </c>
      <c r="I18" s="130">
        <f t="shared" si="1"/>
        <v>1.0008440059196438E-3</v>
      </c>
      <c r="J18" s="128"/>
      <c r="K18" s="129"/>
      <c r="L18" s="130"/>
      <c r="M18" s="128"/>
      <c r="N18" s="129"/>
      <c r="O18" s="130"/>
      <c r="P18" s="128" t="str">
        <f t="shared" si="5"/>
        <v>EURYC1Y_8MD</v>
      </c>
      <c r="Q18" s="129">
        <f>Pricing!$E18*100</f>
        <v>0.36924073275232688</v>
      </c>
      <c r="R18" s="130">
        <f>Pricing!$E18*100</f>
        <v>0.36924073275232688</v>
      </c>
      <c r="V18" s="129">
        <v>6.8700000000000005E-7</v>
      </c>
      <c r="W18" s="130">
        <v>6.8700000000000005E-7</v>
      </c>
      <c r="Y18" s="129"/>
      <c r="Z18" s="130"/>
      <c r="AB18" s="129"/>
      <c r="AC18" s="130"/>
      <c r="AE18" s="129">
        <v>1.787077</v>
      </c>
      <c r="AF18" s="130">
        <v>1.787077</v>
      </c>
      <c r="AH18" s="30">
        <f t="shared" si="0"/>
        <v>-1.0001570059196437E-3</v>
      </c>
      <c r="AI18" s="217"/>
      <c r="AJ18" s="217"/>
      <c r="AK18" s="30"/>
      <c r="AL18" s="217"/>
      <c r="AM18" s="217"/>
      <c r="AN18" s="30"/>
      <c r="AO18" s="217"/>
      <c r="AP18" s="217"/>
      <c r="AQ18" s="30"/>
      <c r="AR18" s="30"/>
      <c r="AS18" s="30"/>
      <c r="AT18" s="30"/>
      <c r="AU18" s="30"/>
    </row>
    <row r="19" spans="1:47" x14ac:dyDescent="0.2">
      <c r="A19" s="70" t="str">
        <f>Pricing!$A19</f>
        <v>9M</v>
      </c>
      <c r="B19" s="208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59"/>
      <c r="D19" s="59"/>
      <c r="E19" s="93"/>
      <c r="G19" s="128" t="str">
        <f t="shared" si="6"/>
        <v>EURX1S9M=</v>
      </c>
      <c r="H19" s="129">
        <f>IF(Pricing!$B19=0,Pricing!$B19*100+0.000001,Pricing!$B19*100)</f>
        <v>-1.9992043952178707E-3</v>
      </c>
      <c r="I19" s="130">
        <f t="shared" si="1"/>
        <v>-1.9992043952178707E-3</v>
      </c>
      <c r="J19" s="128"/>
      <c r="K19" s="129"/>
      <c r="L19" s="130"/>
      <c r="M19" s="128"/>
      <c r="N19" s="129"/>
      <c r="O19" s="130"/>
      <c r="P19" s="128" t="str">
        <f t="shared" si="5"/>
        <v>EURYC1Y_9MD</v>
      </c>
      <c r="Q19" s="129">
        <f>Pricing!$E19*100</f>
        <v>0.36619999991292951</v>
      </c>
      <c r="R19" s="130">
        <f>Pricing!$E19*100</f>
        <v>0.36619999991292951</v>
      </c>
      <c r="V19" s="129">
        <v>-1.9993910000000001E-3</v>
      </c>
      <c r="W19" s="130">
        <v>-1.9993910000000001E-3</v>
      </c>
      <c r="Y19" s="129"/>
      <c r="Z19" s="130"/>
      <c r="AB19" s="129"/>
      <c r="AC19" s="130"/>
      <c r="AE19" s="129">
        <v>1.766435</v>
      </c>
      <c r="AF19" s="130">
        <v>1.766435</v>
      </c>
      <c r="AH19" s="30">
        <f t="shared" si="0"/>
        <v>-1.8660478212943407E-7</v>
      </c>
      <c r="AI19" s="217"/>
      <c r="AJ19" s="217"/>
      <c r="AK19" s="30"/>
      <c r="AL19" s="217"/>
      <c r="AM19" s="217"/>
      <c r="AN19" s="30"/>
      <c r="AO19" s="217"/>
      <c r="AP19" s="217"/>
      <c r="AQ19" s="30"/>
      <c r="AR19" s="30"/>
      <c r="AS19" s="30"/>
      <c r="AT19" s="30"/>
      <c r="AU19" s="30"/>
    </row>
    <row r="20" spans="1:47" x14ac:dyDescent="0.2">
      <c r="A20" s="70" t="str">
        <f>Pricing!$A20</f>
        <v>10M</v>
      </c>
      <c r="B20" s="208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59"/>
      <c r="D20" s="59"/>
      <c r="E20" s="93"/>
      <c r="G20" s="128" t="str">
        <f t="shared" si="6"/>
        <v>EURX1S10M=</v>
      </c>
      <c r="H20" s="129">
        <f>IF(Pricing!$B20=0,Pricing!$B20*100+0.000001,Pricing!$B20*100)</f>
        <v>-2.9993938624768642E-3</v>
      </c>
      <c r="I20" s="130">
        <f t="shared" si="1"/>
        <v>-2.9993938624768642E-3</v>
      </c>
      <c r="J20" s="128"/>
      <c r="K20" s="129"/>
      <c r="L20" s="130"/>
      <c r="M20" s="128"/>
      <c r="N20" s="129"/>
      <c r="O20" s="130"/>
      <c r="P20" s="128" t="str">
        <f t="shared" si="5"/>
        <v>EURYC1Y_10MD</v>
      </c>
      <c r="Q20" s="129">
        <f>Pricing!$E20*100</f>
        <v>0.36385095300910036</v>
      </c>
      <c r="R20" s="130">
        <f>Pricing!$E20*100</f>
        <v>0.36385095300910036</v>
      </c>
      <c r="V20" s="129">
        <v>-2.9995680000000002E-3</v>
      </c>
      <c r="W20" s="130">
        <v>-2.9995680000000002E-3</v>
      </c>
      <c r="Y20" s="129"/>
      <c r="Z20" s="130"/>
      <c r="AB20" s="129"/>
      <c r="AC20" s="130"/>
      <c r="AE20" s="129">
        <v>1.7482249999999999</v>
      </c>
      <c r="AF20" s="130">
        <v>1.7482249999999999</v>
      </c>
      <c r="AH20" s="30">
        <f t="shared" si="0"/>
        <v>-1.7413752313602884E-7</v>
      </c>
      <c r="AI20" s="217"/>
      <c r="AJ20" s="217"/>
      <c r="AK20" s="30"/>
      <c r="AL20" s="217"/>
      <c r="AM20" s="217"/>
      <c r="AN20" s="30"/>
      <c r="AO20" s="217"/>
      <c r="AP20" s="217"/>
      <c r="AQ20" s="30"/>
      <c r="AR20" s="30"/>
      <c r="AS20" s="30"/>
      <c r="AT20" s="30"/>
      <c r="AU20" s="30"/>
    </row>
    <row r="21" spans="1:47" x14ac:dyDescent="0.2">
      <c r="A21" s="70" t="str">
        <f>Pricing!$A21</f>
        <v>11M</v>
      </c>
      <c r="B21" s="208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59"/>
      <c r="D21" s="59"/>
      <c r="E21" s="93"/>
      <c r="G21" s="128" t="str">
        <f t="shared" si="6"/>
        <v>EURX1S11M=</v>
      </c>
      <c r="H21" s="129">
        <f>IF(Pricing!$B21=0,Pricing!$B21*100+0.000001,Pricing!$B21*100)</f>
        <v>-2.9996330353502234E-3</v>
      </c>
      <c r="I21" s="130">
        <f t="shared" si="1"/>
        <v>-2.9996330353502234E-3</v>
      </c>
      <c r="J21" s="128"/>
      <c r="K21" s="129"/>
      <c r="L21" s="130"/>
      <c r="M21" s="128"/>
      <c r="N21" s="129"/>
      <c r="O21" s="130"/>
      <c r="P21" s="128" t="str">
        <f t="shared" si="5"/>
        <v>EURYC1Y_11MD</v>
      </c>
      <c r="Q21" s="129">
        <f>Pricing!$E21*100</f>
        <v>0.36184529998533066</v>
      </c>
      <c r="R21" s="130">
        <f>Pricing!$E21*100</f>
        <v>0.36184529998533066</v>
      </c>
      <c r="V21" s="129">
        <v>-2.999762E-3</v>
      </c>
      <c r="W21" s="130">
        <v>-2.999762E-3</v>
      </c>
      <c r="Y21" s="129"/>
      <c r="Z21" s="130"/>
      <c r="AB21" s="129"/>
      <c r="AC21" s="130"/>
      <c r="AE21" s="129">
        <v>1.730955</v>
      </c>
      <c r="AF21" s="130">
        <v>1.730955</v>
      </c>
      <c r="AH21" s="30">
        <f t="shared" si="0"/>
        <v>-1.289646497765716E-7</v>
      </c>
      <c r="AI21" s="217"/>
      <c r="AJ21" s="217"/>
      <c r="AK21" s="30"/>
      <c r="AL21" s="217"/>
      <c r="AM21" s="217"/>
      <c r="AN21" s="30"/>
      <c r="AO21" s="217"/>
      <c r="AP21" s="217"/>
      <c r="AQ21" s="30"/>
      <c r="AR21" s="30"/>
      <c r="AS21" s="30"/>
      <c r="AT21" s="30"/>
      <c r="AU21" s="30"/>
    </row>
    <row r="22" spans="1:47" x14ac:dyDescent="0.2">
      <c r="A22" s="61" t="str">
        <f>Pricing!$A22</f>
        <v>1Y</v>
      </c>
      <c r="B22" s="216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9"/>
      <c r="D22" s="29"/>
      <c r="E22" s="99"/>
      <c r="G22" s="128" t="str">
        <f>Currency&amp;"X1S12M="</f>
        <v>EURX1S12M=</v>
      </c>
      <c r="H22" s="132">
        <f>IF(Pricing!$B22=0,Pricing!$B22*100+0.000001,Pricing!$B22*100)</f>
        <v>-3.9998438703840204E-3</v>
      </c>
      <c r="I22" s="133">
        <f t="shared" si="1"/>
        <v>-3.9998438703840204E-3</v>
      </c>
      <c r="J22" s="131"/>
      <c r="K22" s="132"/>
      <c r="L22" s="133"/>
      <c r="M22" s="131"/>
      <c r="N22" s="132"/>
      <c r="O22" s="133"/>
      <c r="P22" s="131" t="str">
        <f t="shared" si="5"/>
        <v>EURYC1Y_1YD</v>
      </c>
      <c r="Q22" s="132">
        <f>Pricing!$E22*100</f>
        <v>0.35949999997004917</v>
      </c>
      <c r="R22" s="133">
        <f>Pricing!$E22*100</f>
        <v>0.35949999997004917</v>
      </c>
      <c r="V22" s="132">
        <v>-3.9999500000000004E-3</v>
      </c>
      <c r="W22" s="133">
        <v>-3.9999500000000004E-3</v>
      </c>
      <c r="Y22" s="132"/>
      <c r="Z22" s="133"/>
      <c r="AB22" s="132"/>
      <c r="AC22" s="133"/>
      <c r="AE22" s="132">
        <v>1.71</v>
      </c>
      <c r="AF22" s="133">
        <v>1.71</v>
      </c>
      <c r="AH22" s="30">
        <f t="shared" si="0"/>
        <v>-1.0612961597999265E-7</v>
      </c>
      <c r="AI22" s="217"/>
      <c r="AJ22" s="217"/>
      <c r="AK22" s="30"/>
      <c r="AL22" s="217"/>
      <c r="AM22" s="217"/>
      <c r="AN22" s="30"/>
      <c r="AO22" s="217"/>
      <c r="AP22" s="217"/>
      <c r="AQ22" s="30"/>
      <c r="AR22" s="30"/>
      <c r="AS22" s="30"/>
      <c r="AT22" s="30"/>
      <c r="AU22" s="30"/>
    </row>
    <row r="23" spans="1:47" hidden="1" outlineLevel="1" x14ac:dyDescent="0.2">
      <c r="A23" s="70" t="str">
        <f>Pricing!$A23</f>
        <v>#20141230</v>
      </c>
      <c r="B23" s="208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205"/>
      <c r="D23" s="205"/>
      <c r="E23" s="93"/>
      <c r="G23" s="128" t="str">
        <f t="shared" si="2"/>
        <v>EURYC1M_#20141230D</v>
      </c>
      <c r="H23" s="129">
        <f>IF(Pricing!$B23=0,Pricing!$B23*100+0.000001,Pricing!$B23*100)</f>
        <v>3.695373217042176E-3</v>
      </c>
      <c r="I23" s="129">
        <f t="shared" si="1"/>
        <v>3.695373217042176E-3</v>
      </c>
      <c r="J23" s="128" t="str">
        <f t="shared" si="3"/>
        <v>EURYC3M_#20141230D</v>
      </c>
      <c r="K23" s="129">
        <f>Pricing!$C23*100</f>
        <v>8.6793199609523516E-2</v>
      </c>
      <c r="L23" s="130">
        <f>Pricing!$C23*100</f>
        <v>8.6793199609523516E-2</v>
      </c>
      <c r="M23" s="128" t="str">
        <f t="shared" si="4"/>
        <v>EURYC6M_#20141230D</v>
      </c>
      <c r="N23" s="129">
        <f>Pricing!$D23*100</f>
        <v>0.19394701966519673</v>
      </c>
      <c r="O23" s="130">
        <f>Pricing!$D23*100</f>
        <v>0.19394701966519673</v>
      </c>
      <c r="P23" s="128"/>
      <c r="Q23" s="129"/>
      <c r="R23" s="130"/>
      <c r="V23" s="129">
        <v>3.0722029999999999E-3</v>
      </c>
      <c r="W23" s="129">
        <v>3.0722029999999999E-3</v>
      </c>
      <c r="Y23" s="129" t="s">
        <v>126</v>
      </c>
      <c r="Z23" s="129" t="s">
        <v>126</v>
      </c>
      <c r="AB23" s="129" t="s">
        <v>126</v>
      </c>
      <c r="AC23" s="129" t="s">
        <v>126</v>
      </c>
      <c r="AE23" s="129"/>
      <c r="AF23" s="129"/>
      <c r="AH23" s="30"/>
      <c r="AI23" s="217"/>
      <c r="AJ23" s="217"/>
      <c r="AK23" s="30"/>
      <c r="AL23" s="217"/>
      <c r="AM23" s="217"/>
      <c r="AN23" s="30"/>
      <c r="AO23" s="217"/>
      <c r="AP23" s="217"/>
      <c r="AQ23" s="30"/>
      <c r="AR23" s="30"/>
      <c r="AS23" s="30"/>
      <c r="AT23" s="30"/>
      <c r="AU23" s="30"/>
    </row>
    <row r="24" spans="1:47" hidden="1" outlineLevel="1" x14ac:dyDescent="0.2">
      <c r="A24" s="70" t="str">
        <f>Pricing!$A24</f>
        <v>#20141231</v>
      </c>
      <c r="B24" s="208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205"/>
      <c r="D24" s="205"/>
      <c r="E24" s="93"/>
      <c r="G24" s="128" t="str">
        <f t="shared" si="2"/>
        <v>EURYC1M_#20141231D</v>
      </c>
      <c r="H24" s="129">
        <f>IF(Pricing!$B24=0,Pricing!$B24*100+0.000001,Pricing!$B24*100)</f>
        <v>3.7324424363579822E-3</v>
      </c>
      <c r="I24" s="129">
        <f t="shared" si="1"/>
        <v>3.7324424363579822E-3</v>
      </c>
      <c r="J24" s="128" t="str">
        <f t="shared" si="3"/>
        <v>EURYC3M_#20141231D</v>
      </c>
      <c r="K24" s="129">
        <f>Pricing!$C24*100</f>
        <v>8.67751859588963E-2</v>
      </c>
      <c r="L24" s="130">
        <f>Pricing!$C24*100</f>
        <v>8.67751859588963E-2</v>
      </c>
      <c r="M24" s="128" t="str">
        <f t="shared" si="4"/>
        <v>EURYC6M_#20141231D</v>
      </c>
      <c r="N24" s="129">
        <f>Pricing!$D24*100</f>
        <v>0.19389847679165001</v>
      </c>
      <c r="O24" s="130">
        <f>Pricing!$D24*100</f>
        <v>0.19389847679165001</v>
      </c>
      <c r="P24" s="128"/>
      <c r="Q24" s="129"/>
      <c r="R24" s="130"/>
      <c r="V24" s="129">
        <v>3.0719990000000002E-3</v>
      </c>
      <c r="W24" s="129">
        <v>3.0719990000000002E-3</v>
      </c>
      <c r="Y24" s="129" t="s">
        <v>126</v>
      </c>
      <c r="Z24" s="129" t="s">
        <v>126</v>
      </c>
      <c r="AB24" s="129" t="s">
        <v>126</v>
      </c>
      <c r="AC24" s="129" t="s">
        <v>126</v>
      </c>
      <c r="AE24" s="129"/>
      <c r="AF24" s="129"/>
      <c r="AH24" s="30"/>
      <c r="AI24" s="217"/>
      <c r="AJ24" s="217"/>
      <c r="AK24" s="30"/>
      <c r="AL24" s="217"/>
      <c r="AM24" s="217"/>
      <c r="AN24" s="30"/>
      <c r="AO24" s="217"/>
      <c r="AP24" s="217"/>
      <c r="AQ24" s="30"/>
      <c r="AR24" s="30"/>
      <c r="AS24" s="30"/>
      <c r="AT24" s="30"/>
      <c r="AU24" s="30"/>
    </row>
    <row r="25" spans="1:47" hidden="1" outlineLevel="1" x14ac:dyDescent="0.2">
      <c r="A25" s="70" t="str">
        <f>Pricing!$A25</f>
        <v>#20150102</v>
      </c>
      <c r="B25" s="208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205"/>
      <c r="D25" s="205"/>
      <c r="E25" s="93"/>
      <c r="G25" s="128" t="str">
        <f t="shared" si="2"/>
        <v>EURYC1M_#20150102D</v>
      </c>
      <c r="H25" s="129">
        <f>IF(Pricing!$B25=0,Pricing!$B25*100+0.000001,Pricing!$B25*100)</f>
        <v>3.8014318816353178E-3</v>
      </c>
      <c r="I25" s="129">
        <f t="shared" si="1"/>
        <v>3.8014318816353178E-3</v>
      </c>
      <c r="J25" s="128" t="str">
        <f t="shared" si="3"/>
        <v>EURYC3M_#20150102D</v>
      </c>
      <c r="K25" s="129">
        <f>Pricing!$C25*100</f>
        <v>8.6739456034767848E-2</v>
      </c>
      <c r="L25" s="130">
        <f>Pricing!$C25*100</f>
        <v>8.6739456034767848E-2</v>
      </c>
      <c r="M25" s="128" t="str">
        <f t="shared" si="4"/>
        <v>EURYC6M_#20150102D</v>
      </c>
      <c r="N25" s="129">
        <f>Pricing!$D25*100</f>
        <v>0.19379378693377769</v>
      </c>
      <c r="O25" s="130">
        <f>Pricing!$D25*100</f>
        <v>0.19379378693377769</v>
      </c>
      <c r="P25" s="128"/>
      <c r="Q25" s="129"/>
      <c r="R25" s="130"/>
      <c r="V25" s="129">
        <v>3.0692990000000002E-3</v>
      </c>
      <c r="W25" s="129">
        <v>3.0692990000000002E-3</v>
      </c>
      <c r="Y25" s="129" t="s">
        <v>126</v>
      </c>
      <c r="Z25" s="129" t="s">
        <v>126</v>
      </c>
      <c r="AB25" s="129" t="s">
        <v>126</v>
      </c>
      <c r="AC25" s="129" t="s">
        <v>126</v>
      </c>
      <c r="AE25" s="129"/>
      <c r="AF25" s="129"/>
      <c r="AH25" s="30"/>
      <c r="AI25" s="217"/>
      <c r="AJ25" s="217"/>
      <c r="AK25" s="30"/>
      <c r="AL25" s="217"/>
      <c r="AM25" s="217"/>
      <c r="AN25" s="30"/>
      <c r="AO25" s="217"/>
      <c r="AP25" s="217"/>
      <c r="AQ25" s="30"/>
      <c r="AR25" s="30"/>
      <c r="AS25" s="30"/>
      <c r="AT25" s="30"/>
      <c r="AU25" s="30"/>
    </row>
    <row r="26" spans="1:47" hidden="1" outlineLevel="1" x14ac:dyDescent="0.2">
      <c r="A26" s="61" t="str">
        <f>Pricing!$A26</f>
        <v>#20150105</v>
      </c>
      <c r="B26" s="208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207"/>
      <c r="D26" s="207"/>
      <c r="E26" s="99"/>
      <c r="G26" s="131" t="str">
        <f t="shared" si="2"/>
        <v>EURYC1M_#20150105D</v>
      </c>
      <c r="H26" s="132">
        <f>IF(Pricing!$B26=0,Pricing!$B26*100+0.000001,Pricing!$B26*100)</f>
        <v>3.8894092716599566E-3</v>
      </c>
      <c r="I26" s="132">
        <f t="shared" si="1"/>
        <v>3.8894092716599566E-3</v>
      </c>
      <c r="J26" s="131" t="str">
        <f t="shared" si="3"/>
        <v>EURYC3M_#20150105D</v>
      </c>
      <c r="K26" s="132">
        <f>Pricing!$C26*100</f>
        <v>8.668632230254511E-2</v>
      </c>
      <c r="L26" s="133">
        <f>Pricing!$C26*100</f>
        <v>8.668632230254511E-2</v>
      </c>
      <c r="M26" s="131" t="str">
        <f t="shared" si="4"/>
        <v>EURYC6M_#20150105D</v>
      </c>
      <c r="N26" s="132">
        <f>Pricing!$D26*100</f>
        <v>0.19361662463576521</v>
      </c>
      <c r="O26" s="133">
        <f>Pricing!$D26*100</f>
        <v>0.19361662463576521</v>
      </c>
      <c r="P26" s="131"/>
      <c r="Q26" s="132"/>
      <c r="R26" s="133"/>
      <c r="V26" s="132">
        <v>3.0589340000000001E-3</v>
      </c>
      <c r="W26" s="132">
        <v>3.0589340000000001E-3</v>
      </c>
      <c r="Y26" s="132" t="s">
        <v>126</v>
      </c>
      <c r="Z26" s="132" t="s">
        <v>126</v>
      </c>
      <c r="AB26" s="132" t="s">
        <v>126</v>
      </c>
      <c r="AC26" s="132" t="s">
        <v>126</v>
      </c>
      <c r="AE26" s="132"/>
      <c r="AF26" s="132"/>
      <c r="AH26" s="30"/>
      <c r="AI26" s="217"/>
      <c r="AJ26" s="217"/>
      <c r="AK26" s="30"/>
      <c r="AL26" s="217"/>
      <c r="AM26" s="217"/>
      <c r="AN26" s="30"/>
      <c r="AO26" s="217"/>
      <c r="AP26" s="217"/>
      <c r="AQ26" s="30"/>
      <c r="AR26" s="30"/>
      <c r="AS26" s="30"/>
      <c r="AT26" s="30"/>
      <c r="AU26" s="30"/>
    </row>
    <row r="27" spans="1:47" hidden="1" outlineLevel="1" x14ac:dyDescent="0.2">
      <c r="A27" s="70" t="str">
        <f>Pricing!$A27</f>
        <v>#20151230</v>
      </c>
      <c r="B27" s="208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59"/>
      <c r="D27" s="59"/>
      <c r="E27" s="93"/>
      <c r="G27" s="128" t="str">
        <f t="shared" si="2"/>
        <v>EURYC1M_#20151230D</v>
      </c>
      <c r="H27" s="129">
        <f>IF(Pricing!$B27=0,Pricing!$B27*100+0.000001,Pricing!$B27*100)</f>
        <v>-5.3906148554643462E-3</v>
      </c>
      <c r="I27" s="129">
        <f t="shared" si="1"/>
        <v>-5.3906148554643462E-3</v>
      </c>
      <c r="J27" s="128" t="str">
        <f t="shared" si="3"/>
        <v>EURYC3M_#20151230D</v>
      </c>
      <c r="K27" s="129">
        <f>Pricing!$C27*100</f>
        <v>7.9839953564656174E-2</v>
      </c>
      <c r="L27" s="130">
        <f>Pricing!$C27*100</f>
        <v>7.9839953564656174E-2</v>
      </c>
      <c r="M27" s="128" t="str">
        <f t="shared" si="4"/>
        <v>EURYC6M_#20151230D</v>
      </c>
      <c r="N27" s="129">
        <f>Pricing!$D27*100</f>
        <v>0.18430291253665851</v>
      </c>
      <c r="O27" s="130">
        <f>Pricing!$D27*100</f>
        <v>0.18430291253665851</v>
      </c>
      <c r="P27" s="128"/>
      <c r="Q27" s="129"/>
      <c r="R27" s="130"/>
      <c r="V27" s="129" t="s">
        <v>126</v>
      </c>
      <c r="W27" s="129" t="s">
        <v>126</v>
      </c>
      <c r="Y27" s="129" t="s">
        <v>126</v>
      </c>
      <c r="Z27" s="129" t="s">
        <v>126</v>
      </c>
      <c r="AB27" s="129" t="s">
        <v>126</v>
      </c>
      <c r="AC27" s="129" t="s">
        <v>126</v>
      </c>
      <c r="AE27" s="129"/>
      <c r="AF27" s="129"/>
      <c r="AH27" s="30"/>
      <c r="AI27" s="217"/>
      <c r="AJ27" s="217"/>
      <c r="AK27" s="30"/>
      <c r="AL27" s="217"/>
      <c r="AM27" s="217"/>
      <c r="AN27" s="30"/>
      <c r="AO27" s="217"/>
      <c r="AP27" s="217"/>
      <c r="AQ27" s="30"/>
      <c r="AR27" s="30"/>
      <c r="AS27" s="30"/>
      <c r="AT27" s="30"/>
      <c r="AU27" s="30"/>
    </row>
    <row r="28" spans="1:47" hidden="1" outlineLevel="1" x14ac:dyDescent="0.2">
      <c r="A28" s="70" t="str">
        <f>Pricing!$A28</f>
        <v>#20151231</v>
      </c>
      <c r="B28" s="208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59"/>
      <c r="D28" s="59"/>
      <c r="E28" s="93"/>
      <c r="G28" s="128" t="str">
        <f t="shared" si="2"/>
        <v>EURYC1M_#20151231D</v>
      </c>
      <c r="H28" s="129">
        <f>IF(Pricing!$B28=0,Pricing!$B28*100+0.000001,Pricing!$B28*100)</f>
        <v>-5.3841507933767062E-3</v>
      </c>
      <c r="I28" s="129">
        <f t="shared" si="1"/>
        <v>-5.3841507933767062E-3</v>
      </c>
      <c r="J28" s="128" t="str">
        <f t="shared" si="3"/>
        <v>EURYC3M_#20151231D</v>
      </c>
      <c r="K28" s="129">
        <f>Pricing!$C28*100</f>
        <v>7.9865467185236128E-2</v>
      </c>
      <c r="L28" s="130">
        <f>Pricing!$C28*100</f>
        <v>7.9865467185236128E-2</v>
      </c>
      <c r="M28" s="128" t="str">
        <f t="shared" si="4"/>
        <v>EURYC6M_#20151231D</v>
      </c>
      <c r="N28" s="129">
        <f>Pricing!$D28*100</f>
        <v>0.18438667001293696</v>
      </c>
      <c r="O28" s="130">
        <f>Pricing!$D28*100</f>
        <v>0.18438667001293696</v>
      </c>
      <c r="P28" s="128"/>
      <c r="Q28" s="129"/>
      <c r="R28" s="130"/>
      <c r="V28" s="129" t="s">
        <v>126</v>
      </c>
      <c r="W28" s="129" t="s">
        <v>126</v>
      </c>
      <c r="Y28" s="129" t="s">
        <v>126</v>
      </c>
      <c r="Z28" s="129" t="s">
        <v>126</v>
      </c>
      <c r="AB28" s="129" t="s">
        <v>126</v>
      </c>
      <c r="AC28" s="129" t="s">
        <v>126</v>
      </c>
      <c r="AE28" s="129"/>
      <c r="AF28" s="129"/>
      <c r="AH28" s="30"/>
      <c r="AI28" s="217"/>
      <c r="AJ28" s="217"/>
      <c r="AK28" s="30"/>
      <c r="AL28" s="217"/>
      <c r="AM28" s="217"/>
      <c r="AN28" s="30"/>
      <c r="AO28" s="217"/>
      <c r="AP28" s="217"/>
      <c r="AQ28" s="30"/>
      <c r="AR28" s="30"/>
      <c r="AS28" s="30"/>
      <c r="AT28" s="30"/>
      <c r="AU28" s="30"/>
    </row>
    <row r="29" spans="1:47" hidden="1" outlineLevel="1" x14ac:dyDescent="0.2">
      <c r="A29" s="70" t="str">
        <f>Pricing!$A29</f>
        <v>#20160104</v>
      </c>
      <c r="B29" s="208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59"/>
      <c r="D29" s="59"/>
      <c r="E29" s="93"/>
      <c r="G29" s="128" t="str">
        <f t="shared" si="2"/>
        <v>EURYC1M_#20160104D</v>
      </c>
      <c r="H29" s="129">
        <f>IF(Pricing!$B29=0,Pricing!$B29*100+0.000001,Pricing!$B29*100)</f>
        <v>-5.3550074579226791E-3</v>
      </c>
      <c r="I29" s="129">
        <f t="shared" si="1"/>
        <v>-5.3550074579226791E-3</v>
      </c>
      <c r="J29" s="128" t="str">
        <f t="shared" si="3"/>
        <v>EURYC3M_#20160104D</v>
      </c>
      <c r="K29" s="129">
        <f>Pricing!$C29*100</f>
        <v>7.9970070033343027E-2</v>
      </c>
      <c r="L29" s="130">
        <f>Pricing!$C29*100</f>
        <v>7.9970070033343027E-2</v>
      </c>
      <c r="M29" s="128" t="str">
        <f t="shared" si="4"/>
        <v>EURYC6M_#20160104D</v>
      </c>
      <c r="N29" s="129">
        <f>Pricing!$D29*100</f>
        <v>0.18471185253305877</v>
      </c>
      <c r="O29" s="130">
        <f>Pricing!$D29*100</f>
        <v>0.18471185253305877</v>
      </c>
      <c r="P29" s="128"/>
      <c r="Q29" s="129"/>
      <c r="R29" s="130"/>
      <c r="V29" s="129" t="s">
        <v>126</v>
      </c>
      <c r="W29" s="129" t="s">
        <v>126</v>
      </c>
      <c r="Y29" s="129" t="s">
        <v>126</v>
      </c>
      <c r="Z29" s="129" t="s">
        <v>126</v>
      </c>
      <c r="AB29" s="129" t="s">
        <v>126</v>
      </c>
      <c r="AC29" s="129" t="s">
        <v>126</v>
      </c>
      <c r="AE29" s="129"/>
      <c r="AF29" s="129"/>
      <c r="AH29" s="30"/>
      <c r="AI29" s="217"/>
      <c r="AJ29" s="217"/>
      <c r="AK29" s="30"/>
      <c r="AL29" s="217"/>
      <c r="AM29" s="217"/>
      <c r="AN29" s="30"/>
      <c r="AO29" s="217"/>
      <c r="AP29" s="217"/>
      <c r="AQ29" s="30"/>
      <c r="AR29" s="30"/>
      <c r="AS29" s="30"/>
      <c r="AT29" s="30"/>
      <c r="AU29" s="30"/>
    </row>
    <row r="30" spans="1:47" hidden="1" outlineLevel="1" x14ac:dyDescent="0.2">
      <c r="A30" s="61" t="str">
        <f>Pricing!$A30</f>
        <v>#20160105</v>
      </c>
      <c r="B30" s="20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9"/>
      <c r="D30" s="29"/>
      <c r="E30" s="99"/>
      <c r="G30" s="131" t="str">
        <f t="shared" si="2"/>
        <v>EURYC1M_#20160105D</v>
      </c>
      <c r="H30" s="132">
        <f>IF(Pricing!$B30=0,Pricing!$B30*100+0.000001,Pricing!$B30*100)</f>
        <v>-5.3469030975888954E-3</v>
      </c>
      <c r="I30" s="132">
        <f t="shared" si="1"/>
        <v>-5.3469030975888954E-3</v>
      </c>
      <c r="J30" s="131" t="str">
        <f t="shared" si="3"/>
        <v>EURYC3M_#20160105D</v>
      </c>
      <c r="K30" s="132">
        <f>Pricing!$C30*100</f>
        <v>7.9996853538816248E-2</v>
      </c>
      <c r="L30" s="133">
        <f>Pricing!$C30*100</f>
        <v>7.9996853538816248E-2</v>
      </c>
      <c r="M30" s="131" t="str">
        <f t="shared" si="4"/>
        <v>EURYC6M_#20160105D</v>
      </c>
      <c r="N30" s="132">
        <f>Pricing!$D30*100</f>
        <v>0.18478963935342763</v>
      </c>
      <c r="O30" s="133">
        <f>Pricing!$D30*100</f>
        <v>0.18478963935342763</v>
      </c>
      <c r="P30" s="131"/>
      <c r="Q30" s="132"/>
      <c r="R30" s="133"/>
      <c r="V30" s="132" t="s">
        <v>126</v>
      </c>
      <c r="W30" s="132" t="s">
        <v>126</v>
      </c>
      <c r="Y30" s="132" t="s">
        <v>126</v>
      </c>
      <c r="Z30" s="132" t="s">
        <v>126</v>
      </c>
      <c r="AB30" s="132" t="s">
        <v>126</v>
      </c>
      <c r="AC30" s="132" t="s">
        <v>126</v>
      </c>
      <c r="AE30" s="132"/>
      <c r="AF30" s="132"/>
      <c r="AH30" s="30"/>
      <c r="AI30" s="217"/>
      <c r="AJ30" s="217"/>
      <c r="AK30" s="30"/>
      <c r="AL30" s="217"/>
      <c r="AM30" s="217"/>
      <c r="AN30" s="30"/>
      <c r="AO30" s="217"/>
      <c r="AP30" s="217"/>
      <c r="AQ30" s="30"/>
      <c r="AR30" s="30"/>
      <c r="AS30" s="30"/>
      <c r="AT30" s="30"/>
      <c r="AU30" s="30"/>
    </row>
    <row r="31" spans="1:47" hidden="1" outlineLevel="1" x14ac:dyDescent="0.2">
      <c r="A31" s="55" t="str">
        <f>Pricing!$A31</f>
        <v>U4</v>
      </c>
      <c r="B31" s="208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210"/>
      <c r="D31" s="37"/>
      <c r="E31" s="125"/>
      <c r="G31" s="4" t="str">
        <f t="shared" ref="G31:G42" si="7">G$4&amp;"_"&amp;$A31</f>
        <v>EURYC1M_U4</v>
      </c>
      <c r="H31" s="126">
        <f>IF(Pricing!$B31=0,Pricing!$B31+0.000001,Pricing!$B31)</f>
        <v>99.998864138786473</v>
      </c>
      <c r="I31" s="126">
        <f t="shared" si="1"/>
        <v>99.998864138786473</v>
      </c>
      <c r="J31" s="4" t="str">
        <f t="shared" ref="J31:J50" si="8">J$4&amp;"_"&amp;$A31</f>
        <v>EURYC3M_U4</v>
      </c>
      <c r="K31" s="126">
        <f>Pricing!$C31</f>
        <v>99.912499999841145</v>
      </c>
      <c r="L31" s="127">
        <f>Pricing!$C31</f>
        <v>99.912499999841145</v>
      </c>
      <c r="M31" s="4" t="str">
        <f>M$4&amp;"_"&amp;$A31</f>
        <v>EURYC6M_U4</v>
      </c>
      <c r="N31" s="126">
        <f>Pricing!$D31</f>
        <v>99.806793908298019</v>
      </c>
      <c r="O31" s="127">
        <f>Pricing!$D31</f>
        <v>99.806793908298019</v>
      </c>
      <c r="P31" s="4"/>
      <c r="Q31" s="126"/>
      <c r="R31" s="127"/>
      <c r="V31" s="126" t="s">
        <v>126</v>
      </c>
      <c r="W31" s="126" t="s">
        <v>126</v>
      </c>
      <c r="Y31" s="126" t="s">
        <v>126</v>
      </c>
      <c r="Z31" s="126" t="s">
        <v>126</v>
      </c>
      <c r="AB31" s="126" t="s">
        <v>126</v>
      </c>
      <c r="AC31" s="126" t="s">
        <v>126</v>
      </c>
      <c r="AE31" s="126"/>
      <c r="AF31" s="126"/>
      <c r="AH31" s="30"/>
      <c r="AI31" s="217"/>
      <c r="AJ31" s="217"/>
      <c r="AK31" s="30"/>
      <c r="AL31" s="217"/>
      <c r="AM31" s="217"/>
      <c r="AN31" s="30"/>
      <c r="AO31" s="217"/>
      <c r="AP31" s="217"/>
      <c r="AQ31" s="30"/>
      <c r="AR31" s="30"/>
      <c r="AS31" s="30"/>
      <c r="AT31" s="30"/>
      <c r="AU31" s="30"/>
    </row>
    <row r="32" spans="1:47" hidden="1" outlineLevel="1" x14ac:dyDescent="0.2">
      <c r="A32" s="70" t="str">
        <f>Pricing!$A32</f>
        <v>V4</v>
      </c>
      <c r="B32" s="208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205"/>
      <c r="D32" s="59"/>
      <c r="E32" s="93"/>
      <c r="G32" s="128" t="str">
        <f t="shared" si="7"/>
        <v>EURYC1M_V4</v>
      </c>
      <c r="H32" s="129">
        <f>IF(Pricing!$B32=0,Pricing!$B32+0.000001,Pricing!$B32)</f>
        <v>99.997172443149339</v>
      </c>
      <c r="I32" s="129">
        <f t="shared" si="1"/>
        <v>99.997172443149339</v>
      </c>
      <c r="J32" s="128" t="str">
        <f t="shared" si="8"/>
        <v>EURYC3M_V4</v>
      </c>
      <c r="K32" s="129">
        <f>Pricing!$C32</f>
        <v>99.911827707788703</v>
      </c>
      <c r="L32" s="130">
        <f>Pricing!$C32</f>
        <v>99.911827707788703</v>
      </c>
      <c r="M32" s="128" t="str">
        <f>M$4&amp;"_"&amp;$A32</f>
        <v>EURYC6M_V4</v>
      </c>
      <c r="N32" s="129">
        <f>Pricing!$D32</f>
        <v>99.812626601044286</v>
      </c>
      <c r="O32" s="130">
        <f>Pricing!$D32</f>
        <v>99.812626601044286</v>
      </c>
      <c r="P32" s="128"/>
      <c r="Q32" s="129"/>
      <c r="R32" s="130"/>
      <c r="V32" s="129" t="s">
        <v>126</v>
      </c>
      <c r="W32" s="129" t="s">
        <v>126</v>
      </c>
      <c r="Y32" s="129" t="s">
        <v>126</v>
      </c>
      <c r="Z32" s="129" t="s">
        <v>126</v>
      </c>
      <c r="AB32" s="129" t="s">
        <v>126</v>
      </c>
      <c r="AC32" s="129" t="s">
        <v>126</v>
      </c>
      <c r="AE32" s="129"/>
      <c r="AF32" s="129"/>
      <c r="AH32" s="30"/>
      <c r="AI32" s="217"/>
      <c r="AJ32" s="217"/>
      <c r="AK32" s="30"/>
      <c r="AL32" s="217"/>
      <c r="AM32" s="217"/>
      <c r="AN32" s="30"/>
      <c r="AO32" s="217"/>
      <c r="AP32" s="217"/>
      <c r="AQ32" s="30"/>
      <c r="AR32" s="30"/>
      <c r="AS32" s="30"/>
      <c r="AT32" s="30"/>
      <c r="AU32" s="30"/>
    </row>
    <row r="33" spans="1:47" hidden="1" outlineLevel="1" x14ac:dyDescent="0.2">
      <c r="A33" s="70" t="str">
        <f>Pricing!$A33</f>
        <v>X4</v>
      </c>
      <c r="B33" s="208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205"/>
      <c r="D33" s="59"/>
      <c r="E33" s="93"/>
      <c r="G33" s="128" t="str">
        <f t="shared" si="7"/>
        <v>EURYC1M_X4</v>
      </c>
      <c r="H33" s="129">
        <f>IF(Pricing!$B33=0,Pricing!$B33+0.000001,Pricing!$B33)</f>
        <v>99.994589539288455</v>
      </c>
      <c r="I33" s="129">
        <f t="shared" si="1"/>
        <v>99.994589539288455</v>
      </c>
      <c r="J33" s="128" t="str">
        <f t="shared" si="8"/>
        <v>EURYC3M_X4</v>
      </c>
      <c r="K33" s="129">
        <f>Pricing!$C33</f>
        <v>99.91520934320846</v>
      </c>
      <c r="L33" s="130">
        <f>Pricing!$C33</f>
        <v>99.91520934320846</v>
      </c>
      <c r="M33" s="128" t="str">
        <f>M$4&amp;"_"&amp;$A33</f>
        <v>EURYC6M_X4</v>
      </c>
      <c r="N33" s="129">
        <f>Pricing!$D33</f>
        <v>99.812786237097015</v>
      </c>
      <c r="O33" s="130">
        <f>Pricing!$D33</f>
        <v>99.812786237097015</v>
      </c>
      <c r="P33" s="128"/>
      <c r="Q33" s="129"/>
      <c r="R33" s="130"/>
      <c r="V33" s="129" t="s">
        <v>126</v>
      </c>
      <c r="W33" s="129" t="s">
        <v>126</v>
      </c>
      <c r="Y33" s="129" t="s">
        <v>126</v>
      </c>
      <c r="Z33" s="129" t="s">
        <v>126</v>
      </c>
      <c r="AB33" s="129" t="s">
        <v>126</v>
      </c>
      <c r="AC33" s="129" t="s">
        <v>126</v>
      </c>
      <c r="AE33" s="129"/>
      <c r="AF33" s="129"/>
      <c r="AH33" s="30"/>
      <c r="AI33" s="217"/>
      <c r="AJ33" s="217"/>
      <c r="AK33" s="30"/>
      <c r="AL33" s="217"/>
      <c r="AM33" s="217"/>
      <c r="AN33" s="30"/>
      <c r="AO33" s="217"/>
      <c r="AP33" s="217"/>
      <c r="AQ33" s="30"/>
      <c r="AR33" s="30"/>
      <c r="AS33" s="30"/>
      <c r="AT33" s="30"/>
      <c r="AU33" s="30"/>
    </row>
    <row r="34" spans="1:47" hidden="1" outlineLevel="1" x14ac:dyDescent="0.2">
      <c r="A34" s="70" t="str">
        <f>Pricing!$A34</f>
        <v>Z4</v>
      </c>
      <c r="B34" s="208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205"/>
      <c r="D34" s="59"/>
      <c r="E34" s="93"/>
      <c r="G34" s="128" t="str">
        <f t="shared" si="7"/>
        <v>EURYC1M_Z4</v>
      </c>
      <c r="H34" s="129">
        <f>IF(Pricing!$B34=0,Pricing!$B34+0.000001,Pricing!$B34)</f>
        <v>99.993305769846771</v>
      </c>
      <c r="I34" s="129">
        <f t="shared" si="1"/>
        <v>99.993305769846771</v>
      </c>
      <c r="J34" s="128" t="str">
        <f t="shared" si="8"/>
        <v>EURYC3M_Z4</v>
      </c>
      <c r="K34" s="129">
        <f>Pricing!$C34</f>
        <v>99.917500000000018</v>
      </c>
      <c r="L34" s="130">
        <f>Pricing!$C34</f>
        <v>99.917500000000018</v>
      </c>
      <c r="M34" s="128" t="str">
        <f>M$4&amp;"_"&amp;$A34</f>
        <v>EURYC6M_Z4</v>
      </c>
      <c r="N34" s="129">
        <f>Pricing!$D34</f>
        <v>99.81477695100196</v>
      </c>
      <c r="O34" s="130">
        <f>Pricing!$D34</f>
        <v>99.81477695100196</v>
      </c>
      <c r="P34" s="128"/>
      <c r="Q34" s="129"/>
      <c r="R34" s="130"/>
      <c r="V34" s="129" t="s">
        <v>126</v>
      </c>
      <c r="W34" s="129" t="s">
        <v>126</v>
      </c>
      <c r="Y34" s="129" t="s">
        <v>126</v>
      </c>
      <c r="Z34" s="129" t="s">
        <v>126</v>
      </c>
      <c r="AB34" s="129" t="s">
        <v>126</v>
      </c>
      <c r="AC34" s="129" t="s">
        <v>126</v>
      </c>
      <c r="AE34" s="129"/>
      <c r="AF34" s="129"/>
      <c r="AH34" s="30"/>
      <c r="AI34" s="217"/>
      <c r="AJ34" s="217"/>
      <c r="AK34" s="30"/>
      <c r="AL34" s="217"/>
      <c r="AM34" s="217"/>
      <c r="AN34" s="30"/>
      <c r="AO34" s="217"/>
      <c r="AP34" s="217"/>
      <c r="AQ34" s="30"/>
      <c r="AR34" s="30"/>
      <c r="AS34" s="30"/>
      <c r="AT34" s="30"/>
      <c r="AU34" s="30"/>
    </row>
    <row r="35" spans="1:47" hidden="1" outlineLevel="1" x14ac:dyDescent="0.2">
      <c r="A35" s="70" t="str">
        <f>Pricing!$A35</f>
        <v>F5</v>
      </c>
      <c r="B35" s="208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205"/>
      <c r="D35" s="59"/>
      <c r="E35" s="93"/>
      <c r="G35" s="128" t="str">
        <f t="shared" si="7"/>
        <v>EURYC1M_F5</v>
      </c>
      <c r="H35" s="129">
        <f>IF(Pricing!$B35=0,Pricing!$B35+0.000001,Pricing!$B35)</f>
        <v>99.999654028128404</v>
      </c>
      <c r="I35" s="129">
        <f t="shared" si="1"/>
        <v>99.999654028128404</v>
      </c>
      <c r="J35" s="128" t="str">
        <f t="shared" si="8"/>
        <v>EURYC3M_F5</v>
      </c>
      <c r="K35" s="129">
        <f>Pricing!$C35</f>
        <v>99.921226019724685</v>
      </c>
      <c r="L35" s="130">
        <f>Pricing!$C35</f>
        <v>99.921226019724685</v>
      </c>
      <c r="M35" s="128"/>
      <c r="N35" s="129"/>
      <c r="O35" s="130"/>
      <c r="P35" s="128"/>
      <c r="Q35" s="129"/>
      <c r="R35" s="130"/>
      <c r="V35" s="129" t="s">
        <v>126</v>
      </c>
      <c r="W35" s="129" t="s">
        <v>126</v>
      </c>
      <c r="Y35" s="129" t="s">
        <v>126</v>
      </c>
      <c r="Z35" s="129" t="s">
        <v>126</v>
      </c>
      <c r="AB35" s="129"/>
      <c r="AC35" s="129"/>
      <c r="AE35" s="129"/>
      <c r="AF35" s="129"/>
      <c r="AH35" s="30"/>
      <c r="AI35" s="217"/>
      <c r="AJ35" s="217"/>
      <c r="AK35" s="30"/>
      <c r="AL35" s="217"/>
      <c r="AM35" s="217"/>
      <c r="AN35" s="30"/>
      <c r="AO35" s="217"/>
      <c r="AP35" s="217"/>
      <c r="AQ35" s="30"/>
      <c r="AR35" s="30"/>
      <c r="AS35" s="30"/>
      <c r="AT35" s="30"/>
      <c r="AU35" s="30"/>
    </row>
    <row r="36" spans="1:47" hidden="1" outlineLevel="1" x14ac:dyDescent="0.2">
      <c r="A36" s="70" t="str">
        <f>Pricing!$A36</f>
        <v>G5</v>
      </c>
      <c r="B36" s="208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205"/>
      <c r="D36" s="59"/>
      <c r="E36" s="93"/>
      <c r="G36" s="128" t="str">
        <f t="shared" si="7"/>
        <v>EURYC1M_G5</v>
      </c>
      <c r="H36" s="129">
        <f>IF(Pricing!$B36=0,Pricing!$B36+0.000001,Pricing!$B36)</f>
        <v>100.00644044341736</v>
      </c>
      <c r="I36" s="129">
        <f t="shared" si="1"/>
        <v>100.00644044341736</v>
      </c>
      <c r="J36" s="128" t="str">
        <f t="shared" si="8"/>
        <v>EURYC3M_G5</v>
      </c>
      <c r="K36" s="129">
        <f>Pricing!$C36</f>
        <v>99.924593398915448</v>
      </c>
      <c r="L36" s="130">
        <f>Pricing!$C36</f>
        <v>99.924593398915448</v>
      </c>
      <c r="M36" s="128"/>
      <c r="N36" s="129"/>
      <c r="O36" s="130"/>
      <c r="P36" s="128"/>
      <c r="Q36" s="129"/>
      <c r="R36" s="130"/>
      <c r="V36" s="129" t="s">
        <v>126</v>
      </c>
      <c r="W36" s="129" t="s">
        <v>126</v>
      </c>
      <c r="Y36" s="129" t="s">
        <v>126</v>
      </c>
      <c r="Z36" s="129" t="s">
        <v>126</v>
      </c>
      <c r="AB36" s="129"/>
      <c r="AC36" s="129"/>
      <c r="AE36" s="129"/>
      <c r="AF36" s="129"/>
      <c r="AH36" s="30"/>
      <c r="AI36" s="217"/>
      <c r="AJ36" s="217"/>
      <c r="AK36" s="30"/>
      <c r="AL36" s="217"/>
      <c r="AM36" s="217"/>
      <c r="AN36" s="30"/>
      <c r="AO36" s="217"/>
      <c r="AP36" s="217"/>
      <c r="AQ36" s="30"/>
      <c r="AR36" s="30"/>
      <c r="AS36" s="30"/>
      <c r="AT36" s="30"/>
      <c r="AU36" s="30"/>
    </row>
    <row r="37" spans="1:47" hidden="1" outlineLevel="1" x14ac:dyDescent="0.2">
      <c r="A37" s="70" t="str">
        <f>Pricing!$A37</f>
        <v>H5</v>
      </c>
      <c r="B37" s="208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205"/>
      <c r="D37" s="59"/>
      <c r="E37" s="93"/>
      <c r="G37" s="128" t="str">
        <f t="shared" si="7"/>
        <v>EURYC1M_H5</v>
      </c>
      <c r="H37" s="129">
        <f>IF(Pricing!$B37=0,Pricing!$B37+0.000001,Pricing!$B37)</f>
        <v>100.01702310627829</v>
      </c>
      <c r="I37" s="129">
        <f t="shared" si="1"/>
        <v>100.01702310627829</v>
      </c>
      <c r="J37" s="128" t="str">
        <f t="shared" si="8"/>
        <v>EURYC3M_H5</v>
      </c>
      <c r="K37" s="129">
        <f>Pricing!$C37</f>
        <v>99.927499999947344</v>
      </c>
      <c r="L37" s="130">
        <f>Pricing!$C37</f>
        <v>99.927499999947344</v>
      </c>
      <c r="M37" s="128"/>
      <c r="N37" s="129"/>
      <c r="O37" s="130"/>
      <c r="P37" s="128"/>
      <c r="Q37" s="129"/>
      <c r="R37" s="130"/>
      <c r="V37" s="129" t="s">
        <v>126</v>
      </c>
      <c r="W37" s="129" t="s">
        <v>126</v>
      </c>
      <c r="Y37" s="129" t="s">
        <v>126</v>
      </c>
      <c r="Z37" s="129" t="s">
        <v>126</v>
      </c>
      <c r="AB37" s="129"/>
      <c r="AC37" s="129"/>
      <c r="AE37" s="129"/>
      <c r="AF37" s="129"/>
      <c r="AH37" s="30"/>
      <c r="AI37" s="217"/>
      <c r="AJ37" s="217"/>
      <c r="AK37" s="30"/>
      <c r="AL37" s="217"/>
      <c r="AM37" s="217"/>
      <c r="AN37" s="30"/>
      <c r="AO37" s="217"/>
      <c r="AP37" s="217"/>
      <c r="AQ37" s="30"/>
      <c r="AR37" s="30"/>
      <c r="AS37" s="30"/>
      <c r="AT37" s="30"/>
      <c r="AU37" s="30"/>
    </row>
    <row r="38" spans="1:47" hidden="1" outlineLevel="1" x14ac:dyDescent="0.2">
      <c r="A38" s="70" t="str">
        <f>Pricing!$A38</f>
        <v>J5</v>
      </c>
      <c r="B38" s="208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205"/>
      <c r="D38" s="59"/>
      <c r="E38" s="93"/>
      <c r="G38" s="128" t="str">
        <f t="shared" si="7"/>
        <v>EURYC1M_J5</v>
      </c>
      <c r="H38" s="129">
        <f>IF(Pricing!$B38=0,Pricing!$B38+0.000001,Pricing!$B38)</f>
        <v>100.01685913861355</v>
      </c>
      <c r="I38" s="129">
        <f t="shared" si="1"/>
        <v>100.01685913861355</v>
      </c>
      <c r="J38" s="128" t="str">
        <f t="shared" si="8"/>
        <v>EURYC3M_J5</v>
      </c>
      <c r="K38" s="129">
        <f>Pricing!$C38</f>
        <v>99.928921742490374</v>
      </c>
      <c r="L38" s="130">
        <f>Pricing!$C38</f>
        <v>99.928921742490374</v>
      </c>
      <c r="M38" s="128"/>
      <c r="N38" s="129"/>
      <c r="O38" s="130"/>
      <c r="P38" s="128"/>
      <c r="Q38" s="129"/>
      <c r="R38" s="130"/>
      <c r="V38" s="129" t="s">
        <v>126</v>
      </c>
      <c r="W38" s="129" t="s">
        <v>126</v>
      </c>
      <c r="Y38" s="129" t="s">
        <v>126</v>
      </c>
      <c r="Z38" s="129" t="s">
        <v>126</v>
      </c>
      <c r="AB38" s="129"/>
      <c r="AC38" s="129"/>
      <c r="AE38" s="129"/>
      <c r="AF38" s="129"/>
      <c r="AH38" s="30"/>
      <c r="AI38" s="217"/>
      <c r="AJ38" s="217"/>
      <c r="AK38" s="30"/>
      <c r="AL38" s="217"/>
      <c r="AM38" s="217"/>
      <c r="AN38" s="30"/>
      <c r="AO38" s="217"/>
      <c r="AP38" s="217"/>
      <c r="AQ38" s="30"/>
      <c r="AR38" s="30"/>
      <c r="AS38" s="30"/>
      <c r="AT38" s="30"/>
      <c r="AU38" s="30"/>
    </row>
    <row r="39" spans="1:47" hidden="1" outlineLevel="1" x14ac:dyDescent="0.2">
      <c r="A39" s="70" t="str">
        <f>Pricing!$A39</f>
        <v>K5</v>
      </c>
      <c r="B39" s="208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205"/>
      <c r="D39" s="59"/>
      <c r="E39" s="93"/>
      <c r="G39" s="128" t="str">
        <f t="shared" si="7"/>
        <v>EURYC1M_K5</v>
      </c>
      <c r="H39" s="129">
        <f>IF(Pricing!$B39=0,Pricing!$B39+0.000001,Pricing!$B39)</f>
        <v>100.0123375483914</v>
      </c>
      <c r="I39" s="129">
        <f t="shared" si="1"/>
        <v>100.0123375483914</v>
      </c>
      <c r="J39" s="128" t="str">
        <f t="shared" si="8"/>
        <v>EURYC3M_K5</v>
      </c>
      <c r="K39" s="129">
        <f>Pricing!$C39</f>
        <v>99.92884375260094</v>
      </c>
      <c r="L39" s="130">
        <f>Pricing!$C39</f>
        <v>99.92884375260094</v>
      </c>
      <c r="M39" s="128"/>
      <c r="N39" s="129"/>
      <c r="O39" s="130"/>
      <c r="P39" s="128"/>
      <c r="Q39" s="129"/>
      <c r="R39" s="130"/>
      <c r="V39" s="129" t="s">
        <v>126</v>
      </c>
      <c r="W39" s="129" t="s">
        <v>126</v>
      </c>
      <c r="Y39" s="129" t="s">
        <v>126</v>
      </c>
      <c r="Z39" s="129" t="s">
        <v>126</v>
      </c>
      <c r="AB39" s="129"/>
      <c r="AC39" s="129"/>
      <c r="AE39" s="129"/>
      <c r="AF39" s="129"/>
      <c r="AH39" s="30"/>
      <c r="AI39" s="217"/>
      <c r="AJ39" s="217"/>
      <c r="AK39" s="30"/>
      <c r="AL39" s="217"/>
      <c r="AM39" s="217"/>
      <c r="AN39" s="30"/>
      <c r="AO39" s="217"/>
      <c r="AP39" s="217"/>
      <c r="AQ39" s="30"/>
      <c r="AR39" s="30"/>
      <c r="AS39" s="30"/>
      <c r="AT39" s="30"/>
      <c r="AU39" s="30"/>
    </row>
    <row r="40" spans="1:47" hidden="1" outlineLevel="1" x14ac:dyDescent="0.2">
      <c r="A40" s="70" t="str">
        <f>Pricing!$A40</f>
        <v>M5</v>
      </c>
      <c r="B40" s="208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205"/>
      <c r="D40" s="59"/>
      <c r="E40" s="93"/>
      <c r="G40" s="128" t="str">
        <f t="shared" si="7"/>
        <v>EURYC1M_M5</v>
      </c>
      <c r="H40" s="129">
        <f>IF(Pricing!$B40=0,Pricing!$B40+0.000001,Pricing!$B40)</f>
        <v>100.00947724052705</v>
      </c>
      <c r="I40" s="129">
        <f t="shared" si="1"/>
        <v>100.00947724052705</v>
      </c>
      <c r="J40" s="128" t="str">
        <f t="shared" si="8"/>
        <v>EURYC3M_M5</v>
      </c>
      <c r="K40" s="129">
        <f>Pricing!$C40</f>
        <v>99.927499999904938</v>
      </c>
      <c r="L40" s="130">
        <f>Pricing!$C40</f>
        <v>99.927499999904938</v>
      </c>
      <c r="M40" s="128"/>
      <c r="N40" s="129"/>
      <c r="O40" s="130"/>
      <c r="P40" s="128"/>
      <c r="Q40" s="129"/>
      <c r="R40" s="130"/>
      <c r="V40" s="129" t="s">
        <v>126</v>
      </c>
      <c r="W40" s="129" t="s">
        <v>126</v>
      </c>
      <c r="Y40" s="129" t="s">
        <v>126</v>
      </c>
      <c r="Z40" s="129" t="s">
        <v>126</v>
      </c>
      <c r="AB40" s="129"/>
      <c r="AC40" s="129"/>
      <c r="AE40" s="129"/>
      <c r="AF40" s="129"/>
      <c r="AH40" s="30"/>
      <c r="AI40" s="217"/>
      <c r="AJ40" s="217"/>
      <c r="AK40" s="30"/>
      <c r="AL40" s="217"/>
      <c r="AM40" s="217"/>
      <c r="AN40" s="30"/>
      <c r="AO40" s="217"/>
      <c r="AP40" s="217"/>
      <c r="AQ40" s="30"/>
      <c r="AR40" s="30"/>
      <c r="AS40" s="30"/>
      <c r="AT40" s="30"/>
      <c r="AU40" s="30"/>
    </row>
    <row r="41" spans="1:47" hidden="1" outlineLevel="1" x14ac:dyDescent="0.2">
      <c r="A41" s="70" t="str">
        <f>Pricing!$A41</f>
        <v>N5</v>
      </c>
      <c r="B41" s="208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205"/>
      <c r="D41" s="59"/>
      <c r="E41" s="93"/>
      <c r="G41" s="128" t="str">
        <f t="shared" si="7"/>
        <v>EURYC1M_N5</v>
      </c>
      <c r="H41" s="129">
        <f>IF(Pricing!$B41=0,Pricing!$B41+0.000001,Pricing!$B41)</f>
        <v>100.01103353290964</v>
      </c>
      <c r="I41" s="129">
        <f t="shared" si="1"/>
        <v>100.01103353290964</v>
      </c>
      <c r="J41" s="128" t="str">
        <f t="shared" si="8"/>
        <v>EURYC3M_N5</v>
      </c>
      <c r="K41" s="129">
        <f>Pricing!$C41</f>
        <v>99.925200280108612</v>
      </c>
      <c r="L41" s="130">
        <f>Pricing!$C41</f>
        <v>99.925200280108612</v>
      </c>
      <c r="M41" s="128"/>
      <c r="N41" s="129"/>
      <c r="O41" s="130"/>
      <c r="P41" s="128"/>
      <c r="Q41" s="129"/>
      <c r="R41" s="130"/>
      <c r="V41" s="129" t="s">
        <v>126</v>
      </c>
      <c r="W41" s="129" t="s">
        <v>126</v>
      </c>
      <c r="Y41" s="129" t="s">
        <v>126</v>
      </c>
      <c r="Z41" s="129" t="s">
        <v>126</v>
      </c>
      <c r="AB41" s="129"/>
      <c r="AC41" s="129"/>
      <c r="AE41" s="129"/>
      <c r="AF41" s="129"/>
      <c r="AH41" s="30"/>
      <c r="AI41" s="217"/>
      <c r="AJ41" s="217"/>
      <c r="AK41" s="30"/>
      <c r="AL41" s="217"/>
      <c r="AM41" s="217"/>
      <c r="AN41" s="30"/>
      <c r="AO41" s="217"/>
      <c r="AP41" s="217"/>
      <c r="AQ41" s="30"/>
      <c r="AR41" s="30"/>
      <c r="AS41" s="30"/>
      <c r="AT41" s="30"/>
      <c r="AU41" s="30"/>
    </row>
    <row r="42" spans="1:47" hidden="1" outlineLevel="1" x14ac:dyDescent="0.2">
      <c r="A42" s="70" t="str">
        <f>Pricing!$A42</f>
        <v>Q5</v>
      </c>
      <c r="B42" s="208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205"/>
      <c r="D42" s="59"/>
      <c r="E42" s="93"/>
      <c r="G42" s="128" t="str">
        <f t="shared" si="7"/>
        <v>EURYC1M_Q5</v>
      </c>
      <c r="H42" s="129">
        <f>IF(Pricing!$B42=0,Pricing!$B42+0.000001,Pricing!$B42)</f>
        <v>100.0136216370971</v>
      </c>
      <c r="I42" s="129">
        <f t="shared" si="1"/>
        <v>100.0136216370971</v>
      </c>
      <c r="J42" s="128" t="str">
        <f t="shared" si="8"/>
        <v>EURYC3M_Q5</v>
      </c>
      <c r="K42" s="129">
        <f>Pricing!$C42</f>
        <v>99.921244734629369</v>
      </c>
      <c r="L42" s="130">
        <f>Pricing!$C42</f>
        <v>99.921244734629369</v>
      </c>
      <c r="M42" s="128"/>
      <c r="N42" s="129"/>
      <c r="O42" s="130"/>
      <c r="P42" s="128"/>
      <c r="Q42" s="129"/>
      <c r="R42" s="130"/>
      <c r="V42" s="129" t="s">
        <v>126</v>
      </c>
      <c r="W42" s="129" t="s">
        <v>126</v>
      </c>
      <c r="Y42" s="129" t="s">
        <v>126</v>
      </c>
      <c r="Z42" s="129" t="s">
        <v>126</v>
      </c>
      <c r="AB42" s="129"/>
      <c r="AC42" s="129"/>
      <c r="AE42" s="129"/>
      <c r="AF42" s="129"/>
      <c r="AH42" s="30"/>
      <c r="AI42" s="217"/>
      <c r="AJ42" s="217"/>
      <c r="AK42" s="30"/>
      <c r="AL42" s="217"/>
      <c r="AM42" s="217"/>
      <c r="AN42" s="30"/>
      <c r="AO42" s="217"/>
      <c r="AP42" s="217"/>
      <c r="AQ42" s="30"/>
      <c r="AR42" s="30"/>
      <c r="AS42" s="30"/>
      <c r="AT42" s="30"/>
      <c r="AU42" s="30"/>
    </row>
    <row r="43" spans="1:47" hidden="1" outlineLevel="1" x14ac:dyDescent="0.2">
      <c r="A43" s="70" t="str">
        <f>Pricing!$A43</f>
        <v>U5</v>
      </c>
      <c r="B43" s="208" t="str">
        <f>IF(Contribute="abcd",IF($A$2&lt;&gt;-1,_xll.RtContribute(SourceAlias,G43,Fields,H43:I43,"SCOPE:SERVER"),_xll.RtContribute(SourceAlias,"DDS_INSERT_S",$A$2:$C$2,G43:I43,"SCOPE:SERVER FTC:ALL")),"stopped")</f>
        <v>stopped</v>
      </c>
      <c r="C43" s="205"/>
      <c r="D43" s="59"/>
      <c r="E43" s="93"/>
      <c r="G43" s="128"/>
      <c r="H43" s="129">
        <f>IF(Pricing!$B43=0,Pricing!$B43+0.000001,Pricing!$B43)</f>
        <v>9.9999999999999995E-7</v>
      </c>
      <c r="I43" s="129">
        <f t="shared" si="1"/>
        <v>9.9999999999999995E-7</v>
      </c>
      <c r="J43" s="128" t="str">
        <f t="shared" si="8"/>
        <v>EURYC3M_U5</v>
      </c>
      <c r="K43" s="129">
        <f>Pricing!$C43</f>
        <v>99.917500000160146</v>
      </c>
      <c r="L43" s="130">
        <f>Pricing!$C43</f>
        <v>99.917500000160146</v>
      </c>
      <c r="M43" s="128"/>
      <c r="N43" s="129"/>
      <c r="O43" s="130"/>
      <c r="P43" s="128"/>
      <c r="Q43" s="129"/>
      <c r="R43" s="130"/>
      <c r="V43" s="129"/>
      <c r="W43" s="129"/>
      <c r="Y43" s="129" t="s">
        <v>126</v>
      </c>
      <c r="Z43" s="129" t="s">
        <v>126</v>
      </c>
      <c r="AB43" s="129"/>
      <c r="AC43" s="129"/>
      <c r="AE43" s="129"/>
      <c r="AF43" s="129"/>
      <c r="AH43" s="30"/>
      <c r="AI43" s="217"/>
      <c r="AJ43" s="217"/>
      <c r="AK43" s="30"/>
      <c r="AL43" s="217"/>
      <c r="AM43" s="217"/>
      <c r="AN43" s="30"/>
      <c r="AO43" s="217"/>
      <c r="AP43" s="217"/>
      <c r="AQ43" s="30"/>
      <c r="AR43" s="30"/>
      <c r="AS43" s="30"/>
      <c r="AT43" s="30"/>
      <c r="AU43" s="30"/>
    </row>
    <row r="44" spans="1:47" hidden="1" outlineLevel="1" x14ac:dyDescent="0.2">
      <c r="A44" s="70" t="str">
        <f>Pricing!$A44</f>
        <v>Z5</v>
      </c>
      <c r="B44" s="208" t="str">
        <f>IF(Contribute="abcd",IF($A$2&lt;&gt;-1,_xll.RtContribute(SourceAlias,G44,Fields,H44:I44,"SCOPE:SERVER"),_xll.RtContribute(SourceAlias,"DDS_INSERT_S",$A$2:$C$2,G44:I44,"SCOPE:SERVER FTC:ALL")),"stopped")</f>
        <v>stopped</v>
      </c>
      <c r="C44" s="205"/>
      <c r="D44" s="59"/>
      <c r="E44" s="93"/>
      <c r="G44" s="128"/>
      <c r="H44" s="129">
        <f>IF(Pricing!$B44=0,Pricing!$B44+0.000001,Pricing!$B44)</f>
        <v>9.9999999999999995E-7</v>
      </c>
      <c r="I44" s="129">
        <f t="shared" si="1"/>
        <v>9.9999999999999995E-7</v>
      </c>
      <c r="J44" s="128" t="str">
        <f t="shared" si="8"/>
        <v>EURYC3M_Z5</v>
      </c>
      <c r="K44" s="129">
        <f>Pricing!$C44</f>
        <v>99.902500000000032</v>
      </c>
      <c r="L44" s="130">
        <f>Pricing!$C44</f>
        <v>99.902500000000032</v>
      </c>
      <c r="M44" s="128"/>
      <c r="N44" s="129"/>
      <c r="O44" s="130"/>
      <c r="P44" s="128"/>
      <c r="Q44" s="129"/>
      <c r="R44" s="130"/>
      <c r="V44" s="129"/>
      <c r="W44" s="129"/>
      <c r="Y44" s="129" t="s">
        <v>126</v>
      </c>
      <c r="Z44" s="129" t="s">
        <v>126</v>
      </c>
      <c r="AB44" s="129"/>
      <c r="AC44" s="129"/>
      <c r="AE44" s="129"/>
      <c r="AF44" s="129"/>
      <c r="AH44" s="30"/>
      <c r="AI44" s="217"/>
      <c r="AJ44" s="217"/>
      <c r="AK44" s="30"/>
      <c r="AL44" s="217"/>
      <c r="AM44" s="217"/>
      <c r="AN44" s="30"/>
      <c r="AO44" s="217"/>
      <c r="AP44" s="217"/>
      <c r="AQ44" s="30"/>
      <c r="AR44" s="30"/>
      <c r="AS44" s="30"/>
      <c r="AT44" s="30"/>
      <c r="AU44" s="30"/>
    </row>
    <row r="45" spans="1:47" hidden="1" outlineLevel="1" x14ac:dyDescent="0.2">
      <c r="A45" s="70" t="str">
        <f>Pricing!$A45</f>
        <v>H6</v>
      </c>
      <c r="B45" s="208" t="str">
        <f>IF(Contribute="abcd",IF($A$2&lt;&gt;-1,_xll.RtContribute(SourceAlias,G45,Fields,H45:I45,"SCOPE:SERVER"),_xll.RtContribute(SourceAlias,"DDS_INSERT_S",$A$2:$C$2,G45:I45,"SCOPE:SERVER FTC:ALL")),"stopped")</f>
        <v>stopped</v>
      </c>
      <c r="C45" s="205"/>
      <c r="D45" s="59"/>
      <c r="E45" s="93"/>
      <c r="G45" s="128"/>
      <c r="H45" s="129">
        <f>IF(Pricing!$B45=0,Pricing!$B45+0.000001,Pricing!$B45)</f>
        <v>9.9999999999999995E-7</v>
      </c>
      <c r="I45" s="129">
        <f t="shared" si="1"/>
        <v>9.9999999999999995E-7</v>
      </c>
      <c r="J45" s="128" t="str">
        <f t="shared" si="8"/>
        <v>EURYC3M_H6</v>
      </c>
      <c r="K45" s="129">
        <f>Pricing!$C45</f>
        <v>99.882499999999979</v>
      </c>
      <c r="L45" s="130">
        <f>Pricing!$C45</f>
        <v>99.882499999999979</v>
      </c>
      <c r="M45" s="128"/>
      <c r="N45" s="129"/>
      <c r="O45" s="130"/>
      <c r="P45" s="128"/>
      <c r="Q45" s="129"/>
      <c r="R45" s="130"/>
      <c r="V45" s="129"/>
      <c r="W45" s="129"/>
      <c r="Y45" s="129" t="s">
        <v>126</v>
      </c>
      <c r="Z45" s="129" t="s">
        <v>126</v>
      </c>
      <c r="AB45" s="129"/>
      <c r="AC45" s="129"/>
      <c r="AE45" s="129"/>
      <c r="AF45" s="129"/>
      <c r="AH45" s="30"/>
      <c r="AI45" s="217"/>
      <c r="AJ45" s="217"/>
      <c r="AK45" s="30"/>
      <c r="AL45" s="217"/>
      <c r="AM45" s="217"/>
      <c r="AN45" s="30"/>
      <c r="AO45" s="217"/>
      <c r="AP45" s="217"/>
      <c r="AQ45" s="30"/>
      <c r="AR45" s="30"/>
      <c r="AS45" s="30"/>
      <c r="AT45" s="30"/>
      <c r="AU45" s="30"/>
    </row>
    <row r="46" spans="1:47" hidden="1" outlineLevel="1" x14ac:dyDescent="0.2">
      <c r="A46" s="70" t="str">
        <f>Pricing!$A46</f>
        <v>M6</v>
      </c>
      <c r="B46" s="208" t="str">
        <f>IF(Contribute="abcd",IF($A$2&lt;&gt;-1,_xll.RtContribute(SourceAlias,G46,Fields,H46:I46,"SCOPE:SERVER"),_xll.RtContribute(SourceAlias,"DDS_INSERT_S",$A$2:$C$2,G46:I46,"SCOPE:SERVER FTC:ALL")),"stopped")</f>
        <v>stopped</v>
      </c>
      <c r="C46" s="205"/>
      <c r="D46" s="59"/>
      <c r="E46" s="93"/>
      <c r="G46" s="128"/>
      <c r="H46" s="129">
        <f>IF(Pricing!$B46=0,Pricing!$B46+0.000001,Pricing!$B46)</f>
        <v>9.9999999999999995E-7</v>
      </c>
      <c r="I46" s="129">
        <f t="shared" si="1"/>
        <v>9.9999999999999995E-7</v>
      </c>
      <c r="J46" s="128" t="str">
        <f t="shared" si="8"/>
        <v>EURYC3M_M6</v>
      </c>
      <c r="K46" s="129">
        <f>Pricing!$C46</f>
        <v>99.852500000150528</v>
      </c>
      <c r="L46" s="130">
        <f>Pricing!$C46</f>
        <v>99.852500000150528</v>
      </c>
      <c r="M46" s="128"/>
      <c r="N46" s="129"/>
      <c r="O46" s="130"/>
      <c r="P46" s="128"/>
      <c r="Q46" s="129"/>
      <c r="R46" s="130"/>
      <c r="V46" s="129"/>
      <c r="W46" s="129"/>
      <c r="Y46" s="129" t="s">
        <v>126</v>
      </c>
      <c r="Z46" s="129" t="s">
        <v>126</v>
      </c>
      <c r="AB46" s="129"/>
      <c r="AC46" s="129"/>
      <c r="AE46" s="129"/>
      <c r="AF46" s="129"/>
      <c r="AH46" s="30"/>
      <c r="AI46" s="217"/>
      <c r="AJ46" s="217"/>
      <c r="AK46" s="30"/>
      <c r="AL46" s="217"/>
      <c r="AM46" s="217"/>
      <c r="AN46" s="30"/>
      <c r="AO46" s="217"/>
      <c r="AP46" s="217"/>
      <c r="AQ46" s="30"/>
      <c r="AR46" s="30"/>
      <c r="AS46" s="30"/>
      <c r="AT46" s="30"/>
      <c r="AU46" s="30"/>
    </row>
    <row r="47" spans="1:47" hidden="1" outlineLevel="1" x14ac:dyDescent="0.2">
      <c r="A47" s="70" t="str">
        <f>Pricing!$A47</f>
        <v>U6</v>
      </c>
      <c r="B47" s="208" t="str">
        <f>IF(Contribute="abcd",IF($A$2&lt;&gt;-1,_xll.RtContribute(SourceAlias,G47,Fields,H47:I47,"SCOPE:SERVER"),_xll.RtContribute(SourceAlias,"DDS_INSERT_S",$A$2:$C$2,G47:I47,"SCOPE:SERVER FTC:ALL")),"stopped")</f>
        <v>stopped</v>
      </c>
      <c r="C47" s="59"/>
      <c r="D47" s="59"/>
      <c r="E47" s="93"/>
      <c r="G47" s="128"/>
      <c r="H47" s="129">
        <f>IF(Pricing!$B47=0,Pricing!$B47+0.000001,Pricing!$B47)</f>
        <v>9.9999999999999995E-7</v>
      </c>
      <c r="I47" s="129">
        <f t="shared" si="1"/>
        <v>9.9999999999999995E-7</v>
      </c>
      <c r="J47" s="128" t="str">
        <f t="shared" si="8"/>
        <v>EURYC3M_U6</v>
      </c>
      <c r="K47" s="129">
        <f>Pricing!$C47</f>
        <v>99.813303651694824</v>
      </c>
      <c r="L47" s="130">
        <f>Pricing!$C47</f>
        <v>99.813303651694824</v>
      </c>
      <c r="M47" s="128"/>
      <c r="N47" s="129"/>
      <c r="O47" s="130"/>
      <c r="P47" s="128"/>
      <c r="Q47" s="129"/>
      <c r="R47" s="130"/>
      <c r="V47" s="129"/>
      <c r="W47" s="129"/>
      <c r="Y47" s="129" t="s">
        <v>126</v>
      </c>
      <c r="Z47" s="129" t="s">
        <v>126</v>
      </c>
      <c r="AB47" s="129"/>
      <c r="AC47" s="129"/>
      <c r="AE47" s="129"/>
      <c r="AF47" s="129"/>
      <c r="AH47" s="30"/>
      <c r="AI47" s="217"/>
      <c r="AJ47" s="217"/>
      <c r="AK47" s="30"/>
      <c r="AL47" s="217"/>
      <c r="AM47" s="217"/>
      <c r="AN47" s="30"/>
      <c r="AO47" s="217"/>
      <c r="AP47" s="217"/>
      <c r="AQ47" s="30"/>
      <c r="AR47" s="30"/>
      <c r="AS47" s="30"/>
      <c r="AT47" s="30"/>
      <c r="AU47" s="30"/>
    </row>
    <row r="48" spans="1:47" hidden="1" outlineLevel="1" x14ac:dyDescent="0.2">
      <c r="A48" s="70" t="str">
        <f>Pricing!$A48</f>
        <v>Z6</v>
      </c>
      <c r="B48" s="208" t="str">
        <f>IF(Contribute="abcd",IF($A$2&lt;&gt;-1,_xll.RtContribute(SourceAlias,G48,Fields,H48:I48,"SCOPE:SERVER"),_xll.RtContribute(SourceAlias,"DDS_INSERT_S",$A$2:$C$2,G48:I48,"SCOPE:SERVER FTC:ALL")),"stopped")</f>
        <v>stopped</v>
      </c>
      <c r="C48" s="59"/>
      <c r="D48" s="59"/>
      <c r="E48" s="93"/>
      <c r="G48" s="128"/>
      <c r="H48" s="129">
        <f>IF(Pricing!$B48=0,Pricing!$B48+0.000001,Pricing!$B48)</f>
        <v>9.9999999999999995E-7</v>
      </c>
      <c r="I48" s="129">
        <f t="shared" si="1"/>
        <v>9.9999999999999995E-7</v>
      </c>
      <c r="J48" s="128" t="str">
        <f t="shared" si="8"/>
        <v>EURYC3M_Z6</v>
      </c>
      <c r="K48" s="129">
        <f>Pricing!$C48</f>
        <v>99.768938187473736</v>
      </c>
      <c r="L48" s="130">
        <f>Pricing!$C48</f>
        <v>99.768938187473736</v>
      </c>
      <c r="M48" s="128"/>
      <c r="N48" s="129"/>
      <c r="O48" s="130"/>
      <c r="P48" s="128"/>
      <c r="Q48" s="129"/>
      <c r="R48" s="130"/>
      <c r="V48" s="129"/>
      <c r="W48" s="129"/>
      <c r="Y48" s="129" t="s">
        <v>126</v>
      </c>
      <c r="Z48" s="129" t="s">
        <v>126</v>
      </c>
      <c r="AB48" s="129"/>
      <c r="AC48" s="129"/>
      <c r="AE48" s="129"/>
      <c r="AF48" s="129"/>
      <c r="AH48" s="30"/>
      <c r="AI48" s="217"/>
      <c r="AJ48" s="217"/>
      <c r="AK48" s="30"/>
      <c r="AL48" s="217"/>
      <c r="AM48" s="217"/>
      <c r="AN48" s="30"/>
      <c r="AO48" s="217"/>
      <c r="AP48" s="217"/>
      <c r="AQ48" s="30"/>
      <c r="AR48" s="30"/>
      <c r="AS48" s="30"/>
      <c r="AT48" s="30"/>
      <c r="AU48" s="30"/>
    </row>
    <row r="49" spans="1:47" hidden="1" outlineLevel="1" x14ac:dyDescent="0.2">
      <c r="A49" s="70" t="str">
        <f>Pricing!$A49</f>
        <v>H7</v>
      </c>
      <c r="B49" s="208" t="str">
        <f>IF(Contribute="abcd",IF($A$2&lt;&gt;-1,_xll.RtContribute(SourceAlias,G49,Fields,H49:I49,"SCOPE:SERVER"),_xll.RtContribute(SourceAlias,"DDS_INSERT_S",$A$2:$C$2,G49:I49,"SCOPE:SERVER FTC:ALL")),"stopped")</f>
        <v>stopped</v>
      </c>
      <c r="C49" s="59"/>
      <c r="D49" s="59"/>
      <c r="E49" s="93"/>
      <c r="G49" s="128"/>
      <c r="H49" s="129">
        <f>IF(Pricing!$B49=0,Pricing!$B49+0.000001,Pricing!$B49)</f>
        <v>9.9999999999999995E-7</v>
      </c>
      <c r="I49" s="129">
        <f t="shared" si="1"/>
        <v>9.9999999999999995E-7</v>
      </c>
      <c r="J49" s="128" t="str">
        <f t="shared" si="8"/>
        <v>EURYC3M_H7</v>
      </c>
      <c r="K49" s="129">
        <f>Pricing!$C49</f>
        <v>99.719625771008282</v>
      </c>
      <c r="L49" s="130">
        <f>Pricing!$C49</f>
        <v>99.719625771008282</v>
      </c>
      <c r="M49" s="128"/>
      <c r="N49" s="129"/>
      <c r="O49" s="130"/>
      <c r="P49" s="128"/>
      <c r="Q49" s="129"/>
      <c r="R49" s="130"/>
      <c r="V49" s="129"/>
      <c r="W49" s="129"/>
      <c r="Y49" s="129" t="s">
        <v>126</v>
      </c>
      <c r="Z49" s="129" t="s">
        <v>126</v>
      </c>
      <c r="AB49" s="129"/>
      <c r="AC49" s="129"/>
      <c r="AE49" s="129"/>
      <c r="AF49" s="129"/>
      <c r="AH49" s="30"/>
      <c r="AI49" s="217"/>
      <c r="AJ49" s="217"/>
      <c r="AK49" s="30"/>
      <c r="AL49" s="217"/>
      <c r="AM49" s="217"/>
      <c r="AN49" s="30"/>
      <c r="AO49" s="217"/>
      <c r="AP49" s="217"/>
      <c r="AQ49" s="30"/>
      <c r="AR49" s="30"/>
      <c r="AS49" s="30"/>
      <c r="AT49" s="30"/>
      <c r="AU49" s="30"/>
    </row>
    <row r="50" spans="1:47" hidden="1" outlineLevel="1" x14ac:dyDescent="0.2">
      <c r="A50" s="61" t="str">
        <f>Pricing!$A50</f>
        <v>M7</v>
      </c>
      <c r="B50" s="208" t="str">
        <f>IF(Contribute="abcd",IF($A$2&lt;&gt;-1,_xll.RtContribute(SourceAlias,G50,Fields,H50:I50,"SCOPE:SERVER"),_xll.RtContribute(SourceAlias,"DDS_INSERT_S",$A$2:$C$2,G50:I50,"SCOPE:SERVER FTC:ALL")),"stopped")</f>
        <v>stopped</v>
      </c>
      <c r="C50" s="29"/>
      <c r="D50" s="29"/>
      <c r="E50" s="99"/>
      <c r="G50" s="131"/>
      <c r="H50" s="132">
        <f>IF(Pricing!$B50=0,Pricing!$B50+0.000001,Pricing!$B50)</f>
        <v>9.9999999999999995E-7</v>
      </c>
      <c r="I50" s="132">
        <f t="shared" si="1"/>
        <v>9.9999999999999995E-7</v>
      </c>
      <c r="J50" s="131" t="str">
        <f t="shared" si="8"/>
        <v>EURYC3M_M7</v>
      </c>
      <c r="K50" s="132">
        <f>Pricing!$C50</f>
        <v>99.653629652176619</v>
      </c>
      <c r="L50" s="133">
        <f>Pricing!$C50</f>
        <v>99.653629652176619</v>
      </c>
      <c r="M50" s="131"/>
      <c r="N50" s="132"/>
      <c r="O50" s="133"/>
      <c r="P50" s="131"/>
      <c r="Q50" s="132"/>
      <c r="R50" s="133"/>
      <c r="V50" s="132"/>
      <c r="W50" s="132"/>
      <c r="Y50" s="132" t="s">
        <v>126</v>
      </c>
      <c r="Z50" s="132" t="s">
        <v>126</v>
      </c>
      <c r="AB50" s="132"/>
      <c r="AC50" s="132"/>
      <c r="AE50" s="132"/>
      <c r="AF50" s="132"/>
      <c r="AH50" s="30"/>
      <c r="AI50" s="217"/>
      <c r="AJ50" s="217"/>
      <c r="AK50" s="30"/>
      <c r="AL50" s="217"/>
      <c r="AM50" s="217"/>
      <c r="AN50" s="30"/>
      <c r="AO50" s="217"/>
      <c r="AP50" s="217"/>
      <c r="AQ50" s="30"/>
      <c r="AR50" s="30"/>
      <c r="AS50" s="30"/>
      <c r="AT50" s="30"/>
      <c r="AU50" s="30"/>
    </row>
    <row r="51" spans="1:47" hidden="1" outlineLevel="1" x14ac:dyDescent="0.2">
      <c r="A51" s="55" t="str">
        <f>Indexes!A51</f>
        <v>T</v>
      </c>
      <c r="B51" s="208" t="str">
        <f>IF(Contribute="abcd",IF($A$2&lt;&gt;-1,_xll.RtContribute(SourceAlias,G51,Fields,H51:I51,"SCOPE:SERVER"),_xll.RtContribute(SourceAlias,"DDS_INSERT_S",$A$2:$C$2,G51:I51,"SCOPE:SERVER FTC:ALL")),"stopped")</f>
        <v>stopped</v>
      </c>
      <c r="C51" s="37"/>
      <c r="D51" s="37"/>
      <c r="E51" s="125"/>
      <c r="G51" s="4"/>
      <c r="H51" s="126">
        <f>IF(Pricing!$B51=0,Pricing!$B51*100+0.000001,Pricing!$B51*100)</f>
        <v>9.9999999999999995E-7</v>
      </c>
      <c r="I51" s="126">
        <f t="shared" si="1"/>
        <v>9.9999999999999995E-7</v>
      </c>
      <c r="J51" s="4" t="str">
        <f>J$4&amp;"_"&amp;$A51&amp;J$3&amp;"F1"</f>
        <v>EURYC3M_T3F1</v>
      </c>
      <c r="K51" s="126">
        <f>Pricing!$C51*100</f>
        <v>8.715839889307353E-2</v>
      </c>
      <c r="L51" s="127">
        <f>Pricing!$C51*100</f>
        <v>8.715839889307353E-2</v>
      </c>
      <c r="M51" s="4" t="str">
        <f>M$4&amp;"_"&amp;$A51&amp;M$3&amp;"F1"</f>
        <v>EURYC6M_T6F1</v>
      </c>
      <c r="N51" s="126">
        <f>Pricing!$D51*100</f>
        <v>0.19049999999600026</v>
      </c>
      <c r="O51" s="127">
        <f>Pricing!$D51*100</f>
        <v>0.19049999999600026</v>
      </c>
      <c r="P51" s="4"/>
      <c r="Q51" s="126"/>
      <c r="R51" s="127"/>
      <c r="V51" s="126"/>
      <c r="W51" s="126"/>
      <c r="Y51" s="126">
        <v>1.0837749999999999</v>
      </c>
      <c r="Z51" s="126">
        <v>1.0837749999999999</v>
      </c>
      <c r="AB51" s="126">
        <v>1.383848</v>
      </c>
      <c r="AC51" s="126">
        <v>1.383848</v>
      </c>
      <c r="AE51" s="126"/>
      <c r="AF51" s="126"/>
      <c r="AH51" s="30"/>
      <c r="AI51" s="217"/>
      <c r="AJ51" s="217"/>
      <c r="AK51" s="30"/>
      <c r="AL51" s="217"/>
      <c r="AM51" s="217"/>
      <c r="AN51" s="30"/>
      <c r="AO51" s="217"/>
      <c r="AP51" s="217"/>
      <c r="AQ51" s="30"/>
      <c r="AR51" s="30"/>
      <c r="AS51" s="30"/>
      <c r="AT51" s="30"/>
      <c r="AU51" s="30"/>
    </row>
    <row r="52" spans="1:47" hidden="1" outlineLevel="1" x14ac:dyDescent="0.2">
      <c r="A52" s="61" t="str">
        <f>Indexes!A52</f>
        <v>TOM</v>
      </c>
      <c r="B52" s="208" t="str">
        <f>IF(Contribute="abcd",IF($A$2&lt;&gt;-1,_xll.RtContribute(SourceAlias,G52,Fields,H52:I52,"SCOPE:SERVER"),_xll.RtContribute(SourceAlias,"DDS_INSERT_S",$A$2:$C$2,G52:I52,"SCOPE:SERVER FTC:ALL")),"stopped")</f>
        <v>stopped</v>
      </c>
      <c r="C52" s="29"/>
      <c r="D52" s="29"/>
      <c r="E52" s="99"/>
      <c r="G52" s="131"/>
      <c r="H52" s="132">
        <f>IF(Pricing!$B52=0,Pricing!$B52*100+0.000001,Pricing!$B52*100)</f>
        <v>9.9999999999999995E-7</v>
      </c>
      <c r="I52" s="132">
        <f t="shared" si="1"/>
        <v>9.9999999999999995E-7</v>
      </c>
      <c r="J52" s="131" t="str">
        <f>J$4&amp;"_"&amp;$A52&amp;J$3&amp;"F1"</f>
        <v>EURYC3M_TOM3F1</v>
      </c>
      <c r="K52" s="132">
        <f>Pricing!$C52*100</f>
        <v>8.7381037543358464E-2</v>
      </c>
      <c r="L52" s="133">
        <f>Pricing!$C52*100</f>
        <v>8.7381037543358464E-2</v>
      </c>
      <c r="M52" s="131" t="str">
        <f>M$4&amp;"_"&amp;$A52&amp;M$3&amp;"F1"</f>
        <v>EURYC6M_TOM6F1</v>
      </c>
      <c r="N52" s="132">
        <f>Pricing!$D52*100</f>
        <v>0.18968660854415184</v>
      </c>
      <c r="O52" s="133">
        <f>Pricing!$D52*100</f>
        <v>0.18968660854415184</v>
      </c>
      <c r="P52" s="131"/>
      <c r="Q52" s="132"/>
      <c r="R52" s="133"/>
      <c r="V52" s="132"/>
      <c r="W52" s="132"/>
      <c r="Y52" s="132">
        <v>1.069</v>
      </c>
      <c r="Z52" s="132">
        <v>1.069</v>
      </c>
      <c r="AB52" s="132">
        <v>1.37</v>
      </c>
      <c r="AC52" s="132">
        <v>1.37</v>
      </c>
      <c r="AE52" s="132"/>
      <c r="AF52" s="132"/>
      <c r="AH52" s="30"/>
      <c r="AI52" s="217"/>
      <c r="AJ52" s="217"/>
      <c r="AK52" s="30"/>
      <c r="AL52" s="217"/>
      <c r="AM52" s="217"/>
      <c r="AN52" s="30"/>
      <c r="AO52" s="217"/>
      <c r="AP52" s="217"/>
      <c r="AQ52" s="30"/>
      <c r="AR52" s="30"/>
      <c r="AS52" s="30"/>
      <c r="AT52" s="30"/>
      <c r="AU52" s="30"/>
    </row>
    <row r="53" spans="1:47" hidden="1" outlineLevel="1" x14ac:dyDescent="0.2">
      <c r="A53" s="55">
        <f>Indexes!A53</f>
        <v>1</v>
      </c>
      <c r="B53" s="208" t="str">
        <f>IF(Contribute="abcd",IF($A$2&lt;&gt;-1,_xll.RtContribute(SourceAlias,G53,Fields,H53:I53,"SCOPE:SERVER"),_xll.RtContribute(SourceAlias,"DDS_INSERT_S",$A$2:$C$2,G53:I53,"SCOPE:SERVER FTC:ALL")),"stopped")</f>
        <v>stopped</v>
      </c>
      <c r="C53" s="37"/>
      <c r="D53" s="205"/>
      <c r="E53" s="125"/>
      <c r="G53" s="4"/>
      <c r="H53" s="126">
        <f>IF(Pricing!$B53=0,Pricing!$B53*100+0.000001,Pricing!$B53*100)</f>
        <v>9.9999999999999995E-7</v>
      </c>
      <c r="I53" s="127">
        <f t="shared" si="1"/>
        <v>9.9999999999999995E-7</v>
      </c>
      <c r="J53" s="4" t="str">
        <f t="shared" ref="J53:J58" si="9">J$4&amp;$A53&amp;"X"&amp;($A53+J$3)&amp;"F"</f>
        <v>EURYC3M1X4F</v>
      </c>
      <c r="K53" s="126">
        <f>Pricing!$C53*100</f>
        <v>8.79006186751118E-2</v>
      </c>
      <c r="L53" s="127">
        <f>Pricing!$C53*100</f>
        <v>8.79006186751118E-2</v>
      </c>
      <c r="M53" s="4" t="str">
        <f>M$4&amp;$A53&amp;"X"&amp;($A53+M$3)&amp;"F"</f>
        <v>EURYC6M1X7F</v>
      </c>
      <c r="N53" s="126">
        <f>Pricing!$D53*100</f>
        <v>0.18199999999998012</v>
      </c>
      <c r="O53" s="127">
        <f>Pricing!$D53*100</f>
        <v>0.18199999999998012</v>
      </c>
      <c r="P53" s="4" t="str">
        <f>P$4&amp;$A53&amp;"X"&amp;($A53+P$3)&amp;"F"</f>
        <v>EURYC1Y1X13F</v>
      </c>
      <c r="Q53" s="126">
        <f>Pricing!$E53*100</f>
        <v>0.35515122423741613</v>
      </c>
      <c r="R53" s="127">
        <f>Pricing!$E53*100</f>
        <v>0.35515122423741613</v>
      </c>
      <c r="V53" s="126"/>
      <c r="W53" s="127"/>
      <c r="Y53" s="126">
        <v>0.95361499999999999</v>
      </c>
      <c r="Z53" s="127">
        <v>0.95361499999999999</v>
      </c>
      <c r="AB53" s="126">
        <v>1.228</v>
      </c>
      <c r="AC53" s="127">
        <v>1.228</v>
      </c>
      <c r="AE53" s="126">
        <v>1.6619409999999999</v>
      </c>
      <c r="AF53" s="127">
        <v>1.6619409999999999</v>
      </c>
      <c r="AH53" s="30"/>
      <c r="AI53" s="217"/>
      <c r="AJ53" s="217"/>
      <c r="AK53" s="30"/>
      <c r="AL53" s="217"/>
      <c r="AM53" s="217"/>
      <c r="AN53" s="30"/>
      <c r="AO53" s="217"/>
      <c r="AP53" s="217"/>
      <c r="AQ53" s="30"/>
      <c r="AR53" s="30"/>
      <c r="AS53" s="30"/>
      <c r="AT53" s="30"/>
      <c r="AU53" s="30"/>
    </row>
    <row r="54" spans="1:47" hidden="1" outlineLevel="1" x14ac:dyDescent="0.2">
      <c r="A54" s="70">
        <f>Indexes!A54</f>
        <v>2</v>
      </c>
      <c r="B54" s="208" t="str">
        <f>IF(Contribute="abcd",IF($A$2&lt;&gt;-1,_xll.RtContribute(SourceAlias,G54,Fields,H54:I54,"SCOPE:SERVER"),_xll.RtContribute(SourceAlias,"DDS_INSERT_S",$A$2:$C$2,G54:I54,"SCOPE:SERVER FTC:ALL")),"stopped")</f>
        <v>stopped</v>
      </c>
      <c r="C54" s="59"/>
      <c r="D54" s="205"/>
      <c r="E54" s="93"/>
      <c r="G54" s="128"/>
      <c r="H54" s="129">
        <f>IF(Pricing!$B54=0,Pricing!$B54*100+0.000001,Pricing!$B54*100)</f>
        <v>9.9999999999999995E-7</v>
      </c>
      <c r="I54" s="130">
        <f t="shared" si="1"/>
        <v>9.9999999999999995E-7</v>
      </c>
      <c r="J54" s="128" t="str">
        <f t="shared" si="9"/>
        <v>EURYC3M2X5F</v>
      </c>
      <c r="K54" s="129">
        <f>Pricing!$C54*100</f>
        <v>8.5707659352978097E-2</v>
      </c>
      <c r="L54" s="130">
        <f>Pricing!$C54*100</f>
        <v>8.5707659352978097E-2</v>
      </c>
      <c r="M54" s="128" t="str">
        <f t="shared" ref="M54:M70" si="10">M$4&amp;$A54&amp;"X"&amp;($A54+M$3)&amp;"F"</f>
        <v>EURYC6M2X8F</v>
      </c>
      <c r="N54" s="129">
        <f>Pricing!$D54*100</f>
        <v>0.1789999999999648</v>
      </c>
      <c r="O54" s="130">
        <f>Pricing!$D54*100</f>
        <v>0.1789999999999648</v>
      </c>
      <c r="P54" s="128" t="str">
        <f t="shared" ref="P54:P70" si="11">P$4&amp;$A54&amp;"X"&amp;($A54+P$3)&amp;"F"</f>
        <v>EURYC1Y2X14F</v>
      </c>
      <c r="Q54" s="129">
        <f>Pricing!$E54*100</f>
        <v>0.35043200030718041</v>
      </c>
      <c r="R54" s="130">
        <f>Pricing!$E54*100</f>
        <v>0.35043200030718041</v>
      </c>
      <c r="V54" s="129"/>
      <c r="W54" s="130"/>
      <c r="Y54" s="129">
        <v>0.86756</v>
      </c>
      <c r="Z54" s="130">
        <v>0.86756</v>
      </c>
      <c r="AB54" s="129">
        <v>1.159</v>
      </c>
      <c r="AC54" s="130">
        <v>1.159</v>
      </c>
      <c r="AE54" s="129">
        <v>1.619964</v>
      </c>
      <c r="AF54" s="130">
        <v>1.619964</v>
      </c>
      <c r="AH54" s="30"/>
      <c r="AI54" s="217"/>
      <c r="AJ54" s="217"/>
      <c r="AK54" s="30"/>
      <c r="AL54" s="217"/>
      <c r="AM54" s="217"/>
      <c r="AN54" s="30"/>
      <c r="AO54" s="217"/>
      <c r="AP54" s="217"/>
      <c r="AQ54" s="30"/>
      <c r="AR54" s="30"/>
      <c r="AS54" s="30"/>
      <c r="AT54" s="30"/>
      <c r="AU54" s="30"/>
    </row>
    <row r="55" spans="1:47" hidden="1" outlineLevel="1" x14ac:dyDescent="0.2">
      <c r="A55" s="70">
        <f>Indexes!A55</f>
        <v>3</v>
      </c>
      <c r="B55" s="208" t="str">
        <f>IF(Contribute="abcd",IF($A$2&lt;&gt;-1,_xll.RtContribute(SourceAlias,G55,Fields,H55:I55,"SCOPE:SERVER"),_xll.RtContribute(SourceAlias,"DDS_INSERT_S",$A$2:$C$2,G55:I55,"SCOPE:SERVER FTC:ALL")),"stopped")</f>
        <v>stopped</v>
      </c>
      <c r="C55" s="59"/>
      <c r="D55" s="205"/>
      <c r="E55" s="93"/>
      <c r="G55" s="128"/>
      <c r="H55" s="129">
        <f>IF(Pricing!$B55=0,Pricing!$B55*100+0.000001,Pricing!$B55*100)</f>
        <v>9.9999999999999995E-7</v>
      </c>
      <c r="I55" s="130">
        <f t="shared" si="1"/>
        <v>9.9999999999999995E-7</v>
      </c>
      <c r="J55" s="128" t="str">
        <f t="shared" si="9"/>
        <v>EURYC3M3X6F</v>
      </c>
      <c r="K55" s="129">
        <f>Pricing!$C55*100</f>
        <v>8.2892999289807534E-2</v>
      </c>
      <c r="L55" s="130">
        <f>Pricing!$C55*100</f>
        <v>8.2892999289807534E-2</v>
      </c>
      <c r="M55" s="128" t="str">
        <f t="shared" si="10"/>
        <v>EURYC6M3X9F</v>
      </c>
      <c r="N55" s="129">
        <f>Pricing!$D55*100</f>
        <v>0.17700000000001323</v>
      </c>
      <c r="O55" s="130">
        <f>Pricing!$D55*100</f>
        <v>0.17700000000001323</v>
      </c>
      <c r="P55" s="128" t="str">
        <f t="shared" si="11"/>
        <v>EURYC1Y3X15F</v>
      </c>
      <c r="Q55" s="129">
        <f>Pricing!$E55*100</f>
        <v>0.34570000003193402</v>
      </c>
      <c r="R55" s="130">
        <f>Pricing!$E55*100</f>
        <v>0.34570000003193402</v>
      </c>
      <c r="V55" s="129"/>
      <c r="W55" s="130"/>
      <c r="Y55" s="129">
        <v>0.81377999999999995</v>
      </c>
      <c r="Z55" s="130">
        <v>0.81377999999999995</v>
      </c>
      <c r="AB55" s="129">
        <v>1.119</v>
      </c>
      <c r="AC55" s="130">
        <v>1.119</v>
      </c>
      <c r="AE55" s="129">
        <v>0.27053883400000001</v>
      </c>
      <c r="AF55" s="130">
        <v>0.27053883400000001</v>
      </c>
      <c r="AH55" s="30"/>
      <c r="AI55" s="217"/>
      <c r="AJ55" s="217"/>
      <c r="AK55" s="30"/>
      <c r="AL55" s="217"/>
      <c r="AM55" s="217"/>
      <c r="AN55" s="30"/>
      <c r="AO55" s="217"/>
      <c r="AP55" s="217"/>
      <c r="AQ55" s="30"/>
      <c r="AR55" s="30"/>
      <c r="AS55" s="30"/>
      <c r="AT55" s="30"/>
      <c r="AU55" s="30"/>
    </row>
    <row r="56" spans="1:47" hidden="1" outlineLevel="1" x14ac:dyDescent="0.2">
      <c r="A56" s="70">
        <f>Indexes!A56</f>
        <v>4</v>
      </c>
      <c r="B56" s="208" t="str">
        <f>IF(Contribute="abcd",IF($A$2&lt;&gt;-1,_xll.RtContribute(SourceAlias,G56,Fields,H56:I56,"SCOPE:SERVER"),_xll.RtContribute(SourceAlias,"DDS_INSERT_S",$A$2:$C$2,G56:I56,"SCOPE:SERVER FTC:ALL")),"stopped")</f>
        <v>stopped</v>
      </c>
      <c r="C56" s="59"/>
      <c r="D56" s="205"/>
      <c r="E56" s="93"/>
      <c r="G56" s="128"/>
      <c r="H56" s="129">
        <f>IF(Pricing!$B56=0,Pricing!$B56*100+0.000001,Pricing!$B56*100)</f>
        <v>9.9999999999999995E-7</v>
      </c>
      <c r="I56" s="130">
        <f t="shared" si="1"/>
        <v>9.9999999999999995E-7</v>
      </c>
      <c r="J56" s="128" t="str">
        <f t="shared" si="9"/>
        <v>EURYC3M4X7F</v>
      </c>
      <c r="K56" s="129">
        <f>Pricing!$C56*100</f>
        <v>7.9784182763914829E-2</v>
      </c>
      <c r="L56" s="130">
        <f>Pricing!$C56*100</f>
        <v>7.9784182763914829E-2</v>
      </c>
      <c r="M56" s="128" t="str">
        <f t="shared" si="10"/>
        <v>EURYC6M4X10F</v>
      </c>
      <c r="N56" s="129">
        <f>Pricing!$D56*100</f>
        <v>0.17600000000001986</v>
      </c>
      <c r="O56" s="130">
        <f>Pricing!$D56*100</f>
        <v>0.17600000000001986</v>
      </c>
      <c r="P56" s="128" t="str">
        <f t="shared" si="11"/>
        <v>EURYC1Y4X16F</v>
      </c>
      <c r="Q56" s="129">
        <f>Pricing!$E56*100</f>
        <v>0.34159211985201571</v>
      </c>
      <c r="R56" s="130">
        <f>Pricing!$E56*100</f>
        <v>0.34159211985201571</v>
      </c>
      <c r="V56" s="129"/>
      <c r="W56" s="130"/>
      <c r="Y56" s="129">
        <v>0.77895999999999999</v>
      </c>
      <c r="Z56" s="130">
        <v>0.77895999999999999</v>
      </c>
      <c r="AB56" s="129">
        <v>1.0780000000000001</v>
      </c>
      <c r="AC56" s="130">
        <v>1.0780000000000001</v>
      </c>
      <c r="AE56" s="129">
        <v>1.5432269999999999</v>
      </c>
      <c r="AF56" s="130">
        <v>1.5432269999999999</v>
      </c>
      <c r="AH56" s="30"/>
      <c r="AI56" s="217"/>
      <c r="AJ56" s="217"/>
      <c r="AK56" s="30"/>
      <c r="AL56" s="217"/>
      <c r="AM56" s="217"/>
      <c r="AN56" s="30"/>
      <c r="AO56" s="217"/>
      <c r="AP56" s="217"/>
      <c r="AQ56" s="30"/>
      <c r="AR56" s="30"/>
      <c r="AS56" s="30"/>
      <c r="AT56" s="30"/>
      <c r="AU56" s="30"/>
    </row>
    <row r="57" spans="1:47" hidden="1" outlineLevel="1" x14ac:dyDescent="0.2">
      <c r="A57" s="70">
        <f>Indexes!A57</f>
        <v>5</v>
      </c>
      <c r="B57" s="208" t="str">
        <f>IF(Contribute="abcd",IF($A$2&lt;&gt;-1,_xll.RtContribute(SourceAlias,G57,Fields,H57:I57,"SCOPE:SERVER"),_xll.RtContribute(SourceAlias,"DDS_INSERT_S",$A$2:$C$2,G57:I57,"SCOPE:SERVER FTC:ALL")),"stopped")</f>
        <v>stopped</v>
      </c>
      <c r="C57" s="59"/>
      <c r="D57" s="205"/>
      <c r="E57" s="93"/>
      <c r="G57" s="128"/>
      <c r="H57" s="129">
        <f>IF(Pricing!$B57=0,Pricing!$B57*100+0.000001,Pricing!$B57*100)</f>
        <v>9.9999999999999995E-7</v>
      </c>
      <c r="I57" s="130">
        <f t="shared" si="1"/>
        <v>9.9999999999999995E-7</v>
      </c>
      <c r="J57" s="128" t="str">
        <f t="shared" si="9"/>
        <v>EURYC3M5X8F</v>
      </c>
      <c r="K57" s="129">
        <f>Pricing!$C57*100</f>
        <v>7.6123481621776512E-2</v>
      </c>
      <c r="L57" s="130">
        <f>Pricing!$C57*100</f>
        <v>7.6123481621776512E-2</v>
      </c>
      <c r="M57" s="128" t="str">
        <f t="shared" si="10"/>
        <v>EURYC6M5X11F</v>
      </c>
      <c r="N57" s="129">
        <f>Pricing!$D57*100</f>
        <v>0.17499999998768762</v>
      </c>
      <c r="O57" s="130">
        <f>Pricing!$D57*100</f>
        <v>0.17499999998768762</v>
      </c>
      <c r="P57" s="128" t="str">
        <f t="shared" si="11"/>
        <v>EURYC1Y5X17F</v>
      </c>
      <c r="Q57" s="129">
        <f>Pricing!$E57*100</f>
        <v>0.33836743466887415</v>
      </c>
      <c r="R57" s="130">
        <f>Pricing!$E57*100</f>
        <v>0.33836743466887415</v>
      </c>
      <c r="V57" s="129"/>
      <c r="W57" s="130"/>
      <c r="Y57" s="129">
        <v>0.76056400000000002</v>
      </c>
      <c r="Z57" s="130">
        <v>0.76056400000000002</v>
      </c>
      <c r="AB57" s="129">
        <v>1.0580000000000001</v>
      </c>
      <c r="AC57" s="130">
        <v>1.0580000000000001</v>
      </c>
      <c r="AE57" s="129">
        <v>1.5125150000000001</v>
      </c>
      <c r="AF57" s="130">
        <v>1.5125150000000001</v>
      </c>
      <c r="AH57" s="30"/>
      <c r="AI57" s="217"/>
      <c r="AJ57" s="217"/>
      <c r="AK57" s="30"/>
      <c r="AL57" s="217"/>
      <c r="AM57" s="217"/>
      <c r="AN57" s="30"/>
      <c r="AO57" s="217"/>
      <c r="AP57" s="217"/>
      <c r="AQ57" s="30"/>
      <c r="AR57" s="30"/>
      <c r="AS57" s="30"/>
      <c r="AT57" s="30"/>
      <c r="AU57" s="30"/>
    </row>
    <row r="58" spans="1:47" hidden="1" outlineLevel="1" x14ac:dyDescent="0.2">
      <c r="A58" s="70">
        <f>Indexes!A58</f>
        <v>6</v>
      </c>
      <c r="B58" s="208" t="str">
        <f>IF(Contribute="abcd",IF($A$2&lt;&gt;-1,_xll.RtContribute(SourceAlias,G58,Fields,H58:I58,"SCOPE:SERVER"),_xll.RtContribute(SourceAlias,"DDS_INSERT_S",$A$2:$C$2,G58:I58,"SCOPE:SERVER FTC:ALL")),"stopped")</f>
        <v>stopped</v>
      </c>
      <c r="C58" s="59"/>
      <c r="D58" s="205"/>
      <c r="E58" s="93"/>
      <c r="G58" s="128"/>
      <c r="H58" s="129">
        <f>IF(Pricing!$B58=0,Pricing!$B58*100+0.000001,Pricing!$B58*100)</f>
        <v>9.9999999999999995E-7</v>
      </c>
      <c r="I58" s="130">
        <f t="shared" si="1"/>
        <v>9.9999999999999995E-7</v>
      </c>
      <c r="J58" s="128" t="str">
        <f t="shared" si="9"/>
        <v>EURYC3M6X9F</v>
      </c>
      <c r="K58" s="129">
        <f>Pricing!$C58*100</f>
        <v>7.2992748118739653E-2</v>
      </c>
      <c r="L58" s="130">
        <f>Pricing!$C58*100</f>
        <v>7.2992748118739653E-2</v>
      </c>
      <c r="M58" s="128" t="str">
        <f t="shared" si="10"/>
        <v>EURYC6M6X12F</v>
      </c>
      <c r="N58" s="129">
        <f>Pricing!$D58*100</f>
        <v>0.17399999999999671</v>
      </c>
      <c r="O58" s="130">
        <f>Pricing!$D58*100</f>
        <v>0.17399999999999671</v>
      </c>
      <c r="P58" s="128" t="str">
        <f t="shared" si="11"/>
        <v>EURYC1Y6X18F</v>
      </c>
      <c r="Q58" s="129">
        <f>Pricing!$E58*100</f>
        <v>0.33670000000001105</v>
      </c>
      <c r="R58" s="130">
        <f>Pricing!$E58*100</f>
        <v>0.33670000000001105</v>
      </c>
      <c r="V58" s="129"/>
      <c r="W58" s="130"/>
      <c r="Y58" s="129">
        <v>0.75209599999999999</v>
      </c>
      <c r="Z58" s="130">
        <v>0.75209599999999999</v>
      </c>
      <c r="AB58" s="129">
        <v>1.038</v>
      </c>
      <c r="AC58" s="130">
        <v>1.038</v>
      </c>
      <c r="AE58" s="129">
        <v>0.267053924</v>
      </c>
      <c r="AF58" s="130">
        <v>0.267053924</v>
      </c>
      <c r="AH58" s="30"/>
      <c r="AI58" s="217"/>
      <c r="AJ58" s="217"/>
      <c r="AK58" s="30"/>
      <c r="AL58" s="217"/>
      <c r="AM58" s="217"/>
      <c r="AN58" s="30"/>
      <c r="AO58" s="217"/>
      <c r="AP58" s="217"/>
      <c r="AQ58" s="30"/>
      <c r="AR58" s="30"/>
      <c r="AS58" s="30"/>
      <c r="AT58" s="30"/>
      <c r="AU58" s="30"/>
    </row>
    <row r="59" spans="1:47" hidden="1" outlineLevel="1" x14ac:dyDescent="0.2">
      <c r="A59" s="70">
        <f>Indexes!A59</f>
        <v>7</v>
      </c>
      <c r="B59" s="208" t="str">
        <f>IF(Contribute="abcd",IF($A$2&lt;&gt;-1,_xll.RtContribute(SourceAlias,G59,Fields,H59:I59,"SCOPE:SERVER"),_xll.RtContribute(SourceAlias,"DDS_INSERT_S",$A$2:$C$2,G59:I59,"SCOPE:SERVER FTC:ALL")),"stopped")</f>
        <v>stopped</v>
      </c>
      <c r="C59" s="59"/>
      <c r="D59" s="205"/>
      <c r="E59" s="93"/>
      <c r="G59" s="128"/>
      <c r="H59" s="129">
        <f>IF(Pricing!$B59=0,Pricing!$B59*100+0.000001,Pricing!$B59*100)</f>
        <v>9.9999999999999995E-7</v>
      </c>
      <c r="I59" s="130">
        <f t="shared" si="1"/>
        <v>9.9999999999999995E-7</v>
      </c>
      <c r="J59" s="128"/>
      <c r="K59" s="129"/>
      <c r="L59" s="130"/>
      <c r="M59" s="128" t="str">
        <f t="shared" si="10"/>
        <v>EURYC6M7X13F</v>
      </c>
      <c r="N59" s="129">
        <f>Pricing!$D59*100</f>
        <v>0.17699999999997365</v>
      </c>
      <c r="O59" s="130">
        <f>Pricing!$D59*100</f>
        <v>0.17699999999997365</v>
      </c>
      <c r="P59" s="128" t="str">
        <f t="shared" si="11"/>
        <v>EURYC1Y7X19F</v>
      </c>
      <c r="Q59" s="129">
        <f>Pricing!$E59*100</f>
        <v>0.33629732939885881</v>
      </c>
      <c r="R59" s="130">
        <f>Pricing!$E59*100</f>
        <v>0.33629732939885881</v>
      </c>
      <c r="V59" s="129"/>
      <c r="W59" s="130"/>
      <c r="Y59" s="129"/>
      <c r="Z59" s="130"/>
      <c r="AB59" s="129">
        <v>1.058554</v>
      </c>
      <c r="AC59" s="130">
        <v>1.058554</v>
      </c>
      <c r="AE59" s="129">
        <v>1.4542310000000001</v>
      </c>
      <c r="AF59" s="130">
        <v>1.4542310000000001</v>
      </c>
      <c r="AH59" s="30"/>
      <c r="AI59" s="217"/>
      <c r="AJ59" s="217"/>
      <c r="AK59" s="30"/>
      <c r="AL59" s="217"/>
      <c r="AM59" s="217"/>
      <c r="AN59" s="30"/>
      <c r="AO59" s="217"/>
      <c r="AP59" s="217"/>
      <c r="AQ59" s="30"/>
      <c r="AR59" s="30"/>
      <c r="AS59" s="30"/>
      <c r="AT59" s="30"/>
      <c r="AU59" s="30"/>
    </row>
    <row r="60" spans="1:47" hidden="1" outlineLevel="1" x14ac:dyDescent="0.2">
      <c r="A60" s="70">
        <f>Indexes!A60</f>
        <v>8</v>
      </c>
      <c r="B60" s="208" t="str">
        <f>IF(Contribute="abcd",IF($A$2&lt;&gt;-1,_xll.RtContribute(SourceAlias,G60,Fields,H60:I60,"SCOPE:SERVER"),_xll.RtContribute(SourceAlias,"DDS_INSERT_S",$A$2:$C$2,G60:I60,"SCOPE:SERVER FTC:ALL")),"stopped")</f>
        <v>stopped</v>
      </c>
      <c r="C60" s="59"/>
      <c r="D60" s="205"/>
      <c r="E60" s="93"/>
      <c r="G60" s="128"/>
      <c r="H60" s="129">
        <f>IF(Pricing!$B60=0,Pricing!$B60*100+0.000001,Pricing!$B60*100)</f>
        <v>9.9999999999999995E-7</v>
      </c>
      <c r="I60" s="130">
        <f t="shared" si="1"/>
        <v>9.9999999999999995E-7</v>
      </c>
      <c r="J60" s="128"/>
      <c r="K60" s="129"/>
      <c r="L60" s="130"/>
      <c r="M60" s="128" t="str">
        <f t="shared" si="10"/>
        <v>EURYC6M8X14F</v>
      </c>
      <c r="N60" s="129">
        <f>Pricing!$D60*100</f>
        <v>0.18000000000000627</v>
      </c>
      <c r="O60" s="130">
        <f>Pricing!$D60*100</f>
        <v>0.18000000000000627</v>
      </c>
      <c r="P60" s="128" t="str">
        <f t="shared" si="11"/>
        <v>EURYC1Y8X20F</v>
      </c>
      <c r="Q60" s="129">
        <f>Pricing!$E60*100</f>
        <v>0.33736819221926601</v>
      </c>
      <c r="R60" s="130">
        <f>Pricing!$E60*100</f>
        <v>0.33736819221926601</v>
      </c>
      <c r="V60" s="129"/>
      <c r="W60" s="130"/>
      <c r="Y60" s="129"/>
      <c r="Z60" s="130"/>
      <c r="AB60" s="129">
        <v>1.0438449999999999</v>
      </c>
      <c r="AC60" s="130">
        <v>1.0438449999999999</v>
      </c>
      <c r="AE60" s="129">
        <v>1.429567</v>
      </c>
      <c r="AF60" s="130">
        <v>1.429567</v>
      </c>
      <c r="AH60" s="30"/>
      <c r="AI60" s="217"/>
      <c r="AJ60" s="217"/>
      <c r="AK60" s="30"/>
      <c r="AL60" s="217"/>
      <c r="AM60" s="217"/>
      <c r="AN60" s="30"/>
      <c r="AO60" s="217"/>
      <c r="AP60" s="217"/>
      <c r="AQ60" s="30"/>
      <c r="AR60" s="30"/>
      <c r="AS60" s="30"/>
      <c r="AT60" s="30"/>
      <c r="AU60" s="30"/>
    </row>
    <row r="61" spans="1:47" hidden="1" outlineLevel="1" x14ac:dyDescent="0.2">
      <c r="A61" s="70">
        <f>Indexes!A61</f>
        <v>9</v>
      </c>
      <c r="B61" s="208" t="str">
        <f>IF(Contribute="abcd",IF($A$2&lt;&gt;-1,_xll.RtContribute(SourceAlias,G61,Fields,H61:I61,"SCOPE:SERVER"),_xll.RtContribute(SourceAlias,"DDS_INSERT_S",$A$2:$C$2,G61:I61,"SCOPE:SERVER FTC:ALL")),"stopped")</f>
        <v>stopped</v>
      </c>
      <c r="C61" s="59"/>
      <c r="D61" s="205"/>
      <c r="E61" s="93"/>
      <c r="G61" s="128"/>
      <c r="H61" s="129">
        <f>IF(Pricing!$B61=0,Pricing!$B61*100+0.000001,Pricing!$B61*100)</f>
        <v>9.9999999999999995E-7</v>
      </c>
      <c r="I61" s="130">
        <f t="shared" si="1"/>
        <v>9.9999999999999995E-7</v>
      </c>
      <c r="J61" s="128"/>
      <c r="K61" s="129"/>
      <c r="L61" s="130"/>
      <c r="M61" s="128" t="str">
        <f t="shared" si="10"/>
        <v>EURYC6M9X15F</v>
      </c>
      <c r="N61" s="129">
        <f>Pricing!$D61*100</f>
        <v>0.18299999999999986</v>
      </c>
      <c r="O61" s="130">
        <f>Pricing!$D61*100</f>
        <v>0.18299999999999986</v>
      </c>
      <c r="P61" s="128" t="str">
        <f t="shared" si="11"/>
        <v>EURYC1Y9X21F</v>
      </c>
      <c r="Q61" s="129">
        <f>Pricing!$E61*100</f>
        <v>0.33989999993599429</v>
      </c>
      <c r="R61" s="130">
        <f>Pricing!$E61*100</f>
        <v>0.33989999993599429</v>
      </c>
      <c r="V61" s="129"/>
      <c r="W61" s="130"/>
      <c r="Y61" s="129"/>
      <c r="Z61" s="130"/>
      <c r="AB61" s="129">
        <v>1.021558</v>
      </c>
      <c r="AC61" s="130">
        <v>1.021558</v>
      </c>
      <c r="AE61" s="129">
        <v>1.4079919999999999</v>
      </c>
      <c r="AF61" s="130">
        <v>1.4079919999999999</v>
      </c>
      <c r="AH61" s="30"/>
      <c r="AI61" s="217"/>
      <c r="AJ61" s="217"/>
      <c r="AK61" s="30"/>
      <c r="AL61" s="217"/>
      <c r="AM61" s="217"/>
      <c r="AN61" s="30"/>
      <c r="AO61" s="217"/>
      <c r="AP61" s="217"/>
      <c r="AQ61" s="30"/>
      <c r="AR61" s="30"/>
      <c r="AS61" s="30"/>
      <c r="AT61" s="30"/>
      <c r="AU61" s="30"/>
    </row>
    <row r="62" spans="1:47" hidden="1" outlineLevel="1" x14ac:dyDescent="0.2">
      <c r="A62" s="70">
        <f>Indexes!A62</f>
        <v>10</v>
      </c>
      <c r="B62" s="208" t="str">
        <f>IF(Contribute="abcd",IF($A$2&lt;&gt;-1,_xll.RtContribute(SourceAlias,G62,Fields,H62:I62,"SCOPE:SERVER"),_xll.RtContribute(SourceAlias,"DDS_INSERT_S",$A$2:$C$2,G62:I62,"SCOPE:SERVER FTC:ALL")),"stopped")</f>
        <v>stopped</v>
      </c>
      <c r="C62" s="59"/>
      <c r="D62" s="205"/>
      <c r="E62" s="93"/>
      <c r="G62" s="128"/>
      <c r="H62" s="129">
        <f>IF(Pricing!$B62=0,Pricing!$B62*100+0.000001,Pricing!$B62*100)</f>
        <v>9.9999999999999995E-7</v>
      </c>
      <c r="I62" s="130">
        <f t="shared" si="1"/>
        <v>9.9999999999999995E-7</v>
      </c>
      <c r="J62" s="128"/>
      <c r="K62" s="129"/>
      <c r="L62" s="130"/>
      <c r="M62" s="128" t="str">
        <f t="shared" si="10"/>
        <v>EURYC6M10X16F</v>
      </c>
      <c r="N62" s="129">
        <f>Pricing!$D62*100</f>
        <v>0.18900000000000439</v>
      </c>
      <c r="O62" s="130">
        <f>Pricing!$D62*100</f>
        <v>0.18900000000000439</v>
      </c>
      <c r="P62" s="128" t="str">
        <f t="shared" si="11"/>
        <v>EURYC1Y10X22F</v>
      </c>
      <c r="Q62" s="129">
        <f>Pricing!$E62*100</f>
        <v>0.34342182576112296</v>
      </c>
      <c r="R62" s="130">
        <f>Pricing!$E62*100</f>
        <v>0.34342182576112296</v>
      </c>
      <c r="V62" s="129"/>
      <c r="W62" s="130"/>
      <c r="Y62" s="129"/>
      <c r="Z62" s="130"/>
      <c r="AB62" s="129">
        <v>1.016254</v>
      </c>
      <c r="AC62" s="130">
        <v>1.016254</v>
      </c>
      <c r="AE62" s="129">
        <v>1.3957299999999999</v>
      </c>
      <c r="AF62" s="130">
        <v>1.3957299999999999</v>
      </c>
      <c r="AH62" s="30"/>
      <c r="AI62" s="217"/>
      <c r="AJ62" s="217"/>
      <c r="AK62" s="30"/>
      <c r="AL62" s="217"/>
      <c r="AM62" s="217"/>
      <c r="AN62" s="30"/>
      <c r="AO62" s="217"/>
      <c r="AP62" s="217"/>
      <c r="AQ62" s="30"/>
      <c r="AR62" s="30"/>
      <c r="AS62" s="30"/>
      <c r="AT62" s="30"/>
      <c r="AU62" s="30"/>
    </row>
    <row r="63" spans="1:47" hidden="1" outlineLevel="1" x14ac:dyDescent="0.2">
      <c r="A63" s="70">
        <f>Indexes!A63</f>
        <v>11</v>
      </c>
      <c r="B63" s="208" t="str">
        <f>IF(Contribute="abcd",IF($A$2&lt;&gt;-1,_xll.RtContribute(SourceAlias,G63,Fields,H63:I63,"SCOPE:SERVER"),_xll.RtContribute(SourceAlias,"DDS_INSERT_S",$A$2:$C$2,G63:I63,"SCOPE:SERVER FTC:ALL")),"stopped")</f>
        <v>stopped</v>
      </c>
      <c r="C63" s="59"/>
      <c r="D63" s="205"/>
      <c r="E63" s="93"/>
      <c r="G63" s="128"/>
      <c r="H63" s="129">
        <f>IF(Pricing!$B63=0,Pricing!$B63*100+0.000001,Pricing!$B63*100)</f>
        <v>9.9999999999999995E-7</v>
      </c>
      <c r="I63" s="130">
        <f t="shared" si="1"/>
        <v>9.9999999999999995E-7</v>
      </c>
      <c r="J63" s="128"/>
      <c r="K63" s="129"/>
      <c r="L63" s="130"/>
      <c r="M63" s="128" t="str">
        <f t="shared" si="10"/>
        <v>EURYC6M11X17F</v>
      </c>
      <c r="N63" s="129">
        <f>Pricing!$D63*100</f>
        <v>0.19299999998784906</v>
      </c>
      <c r="O63" s="130">
        <f>Pricing!$D63*100</f>
        <v>0.19299999998784906</v>
      </c>
      <c r="P63" s="128" t="str">
        <f t="shared" si="11"/>
        <v>EURYC1Y11X23F</v>
      </c>
      <c r="Q63" s="129">
        <f>Pricing!$E63*100</f>
        <v>0.34817916566713708</v>
      </c>
      <c r="R63" s="130">
        <f>Pricing!$E63*100</f>
        <v>0.34817916566713708</v>
      </c>
      <c r="V63" s="129"/>
      <c r="W63" s="130"/>
      <c r="Y63" s="129"/>
      <c r="Z63" s="130"/>
      <c r="AB63" s="129">
        <v>1.0107649999999999</v>
      </c>
      <c r="AC63" s="130">
        <v>1.0107649999999999</v>
      </c>
      <c r="AE63" s="129">
        <v>1.384649</v>
      </c>
      <c r="AF63" s="130">
        <v>1.384649</v>
      </c>
      <c r="AH63" s="30"/>
      <c r="AI63" s="217"/>
      <c r="AJ63" s="217"/>
      <c r="AK63" s="30"/>
      <c r="AL63" s="217"/>
      <c r="AM63" s="217"/>
      <c r="AN63" s="30"/>
      <c r="AO63" s="217"/>
      <c r="AP63" s="217"/>
      <c r="AQ63" s="30"/>
      <c r="AR63" s="30"/>
      <c r="AS63" s="30"/>
      <c r="AT63" s="30"/>
      <c r="AU63" s="30"/>
    </row>
    <row r="64" spans="1:47" hidden="1" outlineLevel="1" x14ac:dyDescent="0.2">
      <c r="A64" s="70">
        <f>Indexes!A64</f>
        <v>12</v>
      </c>
      <c r="B64" s="208" t="str">
        <f>IF(Contribute="abcd",IF($A$2&lt;&gt;-1,_xll.RtContribute(SourceAlias,G64,Fields,H64:I64,"SCOPE:SERVER"),_xll.RtContribute(SourceAlias,"DDS_INSERT_S",$A$2:$C$2,G64:I64,"SCOPE:SERVER FTC:ALL")),"stopped")</f>
        <v>stopped</v>
      </c>
      <c r="C64" s="59"/>
      <c r="D64" s="205"/>
      <c r="E64" s="93"/>
      <c r="G64" s="128"/>
      <c r="H64" s="129">
        <f>IF(Pricing!$B64=0,Pricing!$B64*100+0.000001,Pricing!$B64*100)</f>
        <v>9.9999999999999995E-7</v>
      </c>
      <c r="I64" s="130">
        <f t="shared" si="1"/>
        <v>9.9999999999999995E-7</v>
      </c>
      <c r="J64" s="128"/>
      <c r="K64" s="129"/>
      <c r="L64" s="130"/>
      <c r="M64" s="128" t="str">
        <f t="shared" si="10"/>
        <v>EURYC6M12X18F</v>
      </c>
      <c r="N64" s="129">
        <f>Pricing!$D64*100</f>
        <v>0.19800000000000587</v>
      </c>
      <c r="O64" s="130">
        <f>Pricing!$D64*100</f>
        <v>0.19800000000000587</v>
      </c>
      <c r="P64" s="128" t="str">
        <f t="shared" si="11"/>
        <v>EURYC1Y12X24F</v>
      </c>
      <c r="Q64" s="129">
        <f>Pricing!$E64*100</f>
        <v>0.3549999999703185</v>
      </c>
      <c r="R64" s="130">
        <f>Pricing!$E64*100</f>
        <v>0.3549999999703185</v>
      </c>
      <c r="V64" s="129"/>
      <c r="W64" s="130"/>
      <c r="Y64" s="129"/>
      <c r="Z64" s="130"/>
      <c r="AB64" s="129">
        <v>1.032</v>
      </c>
      <c r="AC64" s="130">
        <v>1.032</v>
      </c>
      <c r="AE64" s="129">
        <v>1.38</v>
      </c>
      <c r="AF64" s="130">
        <v>1.38</v>
      </c>
      <c r="AH64" s="30"/>
      <c r="AI64" s="217"/>
      <c r="AJ64" s="217"/>
      <c r="AK64" s="30"/>
      <c r="AL64" s="217"/>
      <c r="AM64" s="217"/>
      <c r="AN64" s="30"/>
      <c r="AO64" s="217"/>
      <c r="AP64" s="217"/>
      <c r="AQ64" s="30"/>
      <c r="AR64" s="30"/>
      <c r="AS64" s="30"/>
      <c r="AT64" s="30"/>
      <c r="AU64" s="30"/>
    </row>
    <row r="65" spans="1:47" hidden="1" outlineLevel="1" x14ac:dyDescent="0.2">
      <c r="A65" s="70">
        <f>Indexes!A65</f>
        <v>13</v>
      </c>
      <c r="B65" s="208" t="str">
        <f>IF(Contribute="abcd",IF($A$2&lt;&gt;-1,_xll.RtContribute(SourceAlias,G65,Fields,H65:I65,"SCOPE:SERVER"),_xll.RtContribute(SourceAlias,"DDS_INSERT_S",$A$2:$C$2,G65:I65,"SCOPE:SERVER FTC:ALL")),"stopped")</f>
        <v>stopped</v>
      </c>
      <c r="C65" s="59"/>
      <c r="D65" s="205"/>
      <c r="E65" s="93"/>
      <c r="G65" s="128"/>
      <c r="H65" s="129">
        <f>IF(Pricing!$B65=0,Pricing!$B65*100+0.000001,Pricing!$B65*100)</f>
        <v>9.9999999999999995E-7</v>
      </c>
      <c r="I65" s="130">
        <f t="shared" si="1"/>
        <v>9.9999999999999995E-7</v>
      </c>
      <c r="J65" s="128"/>
      <c r="K65" s="129"/>
      <c r="L65" s="130"/>
      <c r="M65" s="128" t="str">
        <f t="shared" si="10"/>
        <v>EURYC6M13X19F</v>
      </c>
      <c r="N65" s="129">
        <f>Pricing!$D65*100</f>
        <v>0.2050000001322656</v>
      </c>
      <c r="O65" s="130">
        <f>Pricing!$D65*100</f>
        <v>0.2050000001322656</v>
      </c>
      <c r="P65" s="128" t="str">
        <f t="shared" si="11"/>
        <v>EURYC1Y13X25F</v>
      </c>
      <c r="Q65" s="129">
        <f>Pricing!$E65*100</f>
        <v>0.3621921903437661</v>
      </c>
      <c r="R65" s="130">
        <f>Pricing!$E65*100</f>
        <v>0.3621921903437661</v>
      </c>
      <c r="V65" s="129"/>
      <c r="W65" s="130"/>
      <c r="Y65" s="129"/>
      <c r="Z65" s="130"/>
      <c r="AB65" s="129">
        <v>1.0478499999999999</v>
      </c>
      <c r="AC65" s="130">
        <v>1.0478499999999999</v>
      </c>
      <c r="AE65" s="129">
        <v>1.3829560000000001</v>
      </c>
      <c r="AF65" s="130">
        <v>1.3829560000000001</v>
      </c>
      <c r="AH65" s="30"/>
      <c r="AI65" s="217"/>
      <c r="AJ65" s="217"/>
      <c r="AK65" s="30"/>
      <c r="AL65" s="217"/>
      <c r="AM65" s="217"/>
      <c r="AN65" s="30"/>
      <c r="AO65" s="217"/>
      <c r="AP65" s="217"/>
      <c r="AQ65" s="30"/>
      <c r="AR65" s="30"/>
      <c r="AS65" s="30"/>
      <c r="AT65" s="30"/>
      <c r="AU65" s="30"/>
    </row>
    <row r="66" spans="1:47" hidden="1" outlineLevel="1" x14ac:dyDescent="0.2">
      <c r="A66" s="70">
        <f>Indexes!A66</f>
        <v>14</v>
      </c>
      <c r="B66" s="208" t="str">
        <f>IF(Contribute="abcd",IF($A$2&lt;&gt;-1,_xll.RtContribute(SourceAlias,G66,Fields,H66:I66,"SCOPE:SERVER"),_xll.RtContribute(SourceAlias,"DDS_INSERT_S",$A$2:$C$2,G66:I66,"SCOPE:SERVER FTC:ALL")),"stopped")</f>
        <v>stopped</v>
      </c>
      <c r="C66" s="59"/>
      <c r="D66" s="205"/>
      <c r="E66" s="93"/>
      <c r="G66" s="128"/>
      <c r="H66" s="129">
        <f>IF(Pricing!$B66=0,Pricing!$B66*100+0.000001,Pricing!$B66*100)</f>
        <v>9.9999999999999995E-7</v>
      </c>
      <c r="I66" s="130">
        <f t="shared" si="1"/>
        <v>9.9999999999999995E-7</v>
      </c>
      <c r="J66" s="128"/>
      <c r="K66" s="129"/>
      <c r="L66" s="130"/>
      <c r="M66" s="128" t="str">
        <f t="shared" si="10"/>
        <v>EURYC6M14X20F</v>
      </c>
      <c r="N66" s="129">
        <f>Pricing!$D66*100</f>
        <v>0.21200000000000094</v>
      </c>
      <c r="O66" s="130">
        <f>Pricing!$D66*100</f>
        <v>0.21200000000000094</v>
      </c>
      <c r="P66" s="128" t="str">
        <f t="shared" si="11"/>
        <v>EURYC1Y14X26F</v>
      </c>
      <c r="Q66" s="129">
        <f>Pricing!$E66*100</f>
        <v>0.37196667793784249</v>
      </c>
      <c r="R66" s="130">
        <f>Pricing!$E66*100</f>
        <v>0.37196667793784249</v>
      </c>
      <c r="V66" s="129"/>
      <c r="W66" s="130"/>
      <c r="Y66" s="129"/>
      <c r="Z66" s="130"/>
      <c r="AB66" s="129">
        <v>1.0563419999999999</v>
      </c>
      <c r="AC66" s="130">
        <v>1.0563419999999999</v>
      </c>
      <c r="AE66" s="129">
        <v>1.386673</v>
      </c>
      <c r="AF66" s="130">
        <v>1.386673</v>
      </c>
      <c r="AH66" s="30"/>
      <c r="AI66" s="217"/>
      <c r="AJ66" s="217"/>
      <c r="AK66" s="30"/>
      <c r="AL66" s="217"/>
      <c r="AM66" s="217"/>
      <c r="AN66" s="30"/>
      <c r="AO66" s="217"/>
      <c r="AP66" s="217"/>
      <c r="AQ66" s="30"/>
      <c r="AR66" s="30"/>
      <c r="AS66" s="30"/>
      <c r="AT66" s="30"/>
      <c r="AU66" s="30"/>
    </row>
    <row r="67" spans="1:47" hidden="1" outlineLevel="1" x14ac:dyDescent="0.2">
      <c r="A67" s="70">
        <f>Indexes!A67</f>
        <v>15</v>
      </c>
      <c r="B67" s="208" t="str">
        <f>IF(Contribute="abcd",IF($A$2&lt;&gt;-1,_xll.RtContribute(SourceAlias,G67,Fields,H67:I67,"SCOPE:SERVER"),_xll.RtContribute(SourceAlias,"DDS_INSERT_S",$A$2:$C$2,G67:I67,"SCOPE:SERVER FTC:ALL")),"stopped")</f>
        <v>stopped</v>
      </c>
      <c r="C67" s="59"/>
      <c r="D67" s="205"/>
      <c r="E67" s="93"/>
      <c r="G67" s="128"/>
      <c r="H67" s="129">
        <f>IF(Pricing!$B67=0,Pricing!$B67*100+0.000001,Pricing!$B67*100)</f>
        <v>9.9999999999999995E-7</v>
      </c>
      <c r="I67" s="130">
        <f t="shared" si="1"/>
        <v>9.9999999999999995E-7</v>
      </c>
      <c r="J67" s="128"/>
      <c r="K67" s="129"/>
      <c r="L67" s="130"/>
      <c r="M67" s="128" t="str">
        <f t="shared" si="10"/>
        <v>EURYC6M15X21F</v>
      </c>
      <c r="N67" s="129">
        <f>Pricing!$D67*100</f>
        <v>0.21999999999999981</v>
      </c>
      <c r="O67" s="130">
        <f>Pricing!$D67*100</f>
        <v>0.21999999999999981</v>
      </c>
      <c r="P67" s="128" t="str">
        <f t="shared" si="11"/>
        <v>EURYC1Y15X27F</v>
      </c>
      <c r="Q67" s="129">
        <f>Pricing!$E67*100</f>
        <v>0.38270000006669341</v>
      </c>
      <c r="R67" s="130">
        <f>Pricing!$E67*100</f>
        <v>0.38270000006669341</v>
      </c>
      <c r="V67" s="129"/>
      <c r="W67" s="130"/>
      <c r="Y67" s="129"/>
      <c r="Z67" s="130"/>
      <c r="AB67" s="129">
        <v>1.064481</v>
      </c>
      <c r="AC67" s="130">
        <v>1.064481</v>
      </c>
      <c r="AE67" s="129">
        <v>1.394169</v>
      </c>
      <c r="AF67" s="130">
        <v>1.394169</v>
      </c>
      <c r="AH67" s="30"/>
      <c r="AI67" s="217"/>
      <c r="AJ67" s="217"/>
      <c r="AK67" s="30"/>
      <c r="AL67" s="217"/>
      <c r="AM67" s="217"/>
      <c r="AN67" s="30"/>
      <c r="AO67" s="217"/>
      <c r="AP67" s="217"/>
      <c r="AQ67" s="30"/>
      <c r="AR67" s="30"/>
      <c r="AS67" s="30"/>
      <c r="AT67" s="30"/>
      <c r="AU67" s="30"/>
    </row>
    <row r="68" spans="1:47" hidden="1" outlineLevel="1" x14ac:dyDescent="0.2">
      <c r="A68" s="70">
        <f>Indexes!A68</f>
        <v>16</v>
      </c>
      <c r="B68" s="208" t="str">
        <f>IF(Contribute="abcd",IF($A$2&lt;&gt;-1,_xll.RtContribute(SourceAlias,G68,Fields,H68:I68,"SCOPE:SERVER"),_xll.RtContribute(SourceAlias,"DDS_INSERT_S",$A$2:$C$2,G68:I68,"SCOPE:SERVER FTC:ALL")),"stopped")</f>
        <v>stopped</v>
      </c>
      <c r="C68" s="59"/>
      <c r="D68" s="205"/>
      <c r="E68" s="93"/>
      <c r="G68" s="128"/>
      <c r="H68" s="129">
        <f>IF(Pricing!$B68=0,Pricing!$B68*100+0.000001,Pricing!$B68*100)</f>
        <v>9.9999999999999995E-7</v>
      </c>
      <c r="I68" s="130">
        <f t="shared" si="1"/>
        <v>9.9999999999999995E-7</v>
      </c>
      <c r="J68" s="128"/>
      <c r="K68" s="129"/>
      <c r="L68" s="130"/>
      <c r="M68" s="128" t="str">
        <f t="shared" si="10"/>
        <v>EURYC6M16X22F</v>
      </c>
      <c r="N68" s="129">
        <f>Pricing!$D68*100</f>
        <v>0.22800000000327689</v>
      </c>
      <c r="O68" s="130">
        <f>Pricing!$D68*100</f>
        <v>0.22800000000327689</v>
      </c>
      <c r="P68" s="128" t="str">
        <f t="shared" si="11"/>
        <v>EURYC1Y16X28F</v>
      </c>
      <c r="Q68" s="129">
        <f>Pricing!$E68*100</f>
        <v>0.39392634109148822</v>
      </c>
      <c r="R68" s="130">
        <f>Pricing!$E68*100</f>
        <v>0.39392634109148822</v>
      </c>
      <c r="V68" s="129"/>
      <c r="W68" s="130"/>
      <c r="Y68" s="129"/>
      <c r="Z68" s="130"/>
      <c r="AB68" s="129">
        <v>1.0761670000000001</v>
      </c>
      <c r="AC68" s="130">
        <v>1.0761670000000001</v>
      </c>
      <c r="AE68" s="129">
        <v>1.4051260000000001</v>
      </c>
      <c r="AF68" s="130">
        <v>1.4051260000000001</v>
      </c>
      <c r="AH68" s="30"/>
      <c r="AI68" s="217"/>
      <c r="AJ68" s="217"/>
      <c r="AK68" s="30"/>
      <c r="AL68" s="217"/>
      <c r="AM68" s="217"/>
      <c r="AN68" s="30"/>
      <c r="AO68" s="217"/>
      <c r="AP68" s="217"/>
      <c r="AQ68" s="30"/>
      <c r="AR68" s="30"/>
      <c r="AS68" s="30"/>
      <c r="AT68" s="30"/>
      <c r="AU68" s="30"/>
    </row>
    <row r="69" spans="1:47" hidden="1" outlineLevel="1" x14ac:dyDescent="0.2">
      <c r="A69" s="70">
        <f>Indexes!A69</f>
        <v>17</v>
      </c>
      <c r="B69" s="208" t="str">
        <f>IF(Contribute="abcd",IF($A$2&lt;&gt;-1,_xll.RtContribute(SourceAlias,G69,Fields,H69:I69,"SCOPE:SERVER"),_xll.RtContribute(SourceAlias,"DDS_INSERT_S",$A$2:$C$2,G69:I69,"SCOPE:SERVER FTC:ALL")),"stopped")</f>
        <v>stopped</v>
      </c>
      <c r="C69" s="59"/>
      <c r="D69" s="205"/>
      <c r="E69" s="93"/>
      <c r="G69" s="128"/>
      <c r="H69" s="129">
        <f>IF(Pricing!$B69=0,Pricing!$B69*100+0.000001,Pricing!$B69*100)</f>
        <v>9.9999999999999995E-7</v>
      </c>
      <c r="I69" s="130">
        <f t="shared" si="1"/>
        <v>9.9999999999999995E-7</v>
      </c>
      <c r="J69" s="128"/>
      <c r="K69" s="129"/>
      <c r="L69" s="130"/>
      <c r="M69" s="128" t="str">
        <f t="shared" si="10"/>
        <v>EURYC6M17X23F</v>
      </c>
      <c r="N69" s="129">
        <f>Pricing!$D69*100</f>
        <v>0.23799999998731125</v>
      </c>
      <c r="O69" s="130">
        <f>Pricing!$D69*100</f>
        <v>0.23799999998731125</v>
      </c>
      <c r="P69" s="128" t="str">
        <f t="shared" si="11"/>
        <v>EURYC1Y17X29F</v>
      </c>
      <c r="Q69" s="129">
        <f>Pricing!$E69*100</f>
        <v>0.4074134359197788</v>
      </c>
      <c r="R69" s="130">
        <f>Pricing!$E69*100</f>
        <v>0.4074134359197788</v>
      </c>
      <c r="V69" s="129"/>
      <c r="W69" s="130"/>
      <c r="Y69" s="129"/>
      <c r="Z69" s="130"/>
      <c r="AB69" s="129">
        <v>1.1045050000000001</v>
      </c>
      <c r="AC69" s="130">
        <v>1.1045050000000001</v>
      </c>
      <c r="AE69" s="129">
        <v>1.4205650000000001</v>
      </c>
      <c r="AF69" s="130">
        <v>1.4205650000000001</v>
      </c>
      <c r="AH69" s="30"/>
      <c r="AI69" s="217"/>
      <c r="AJ69" s="217"/>
      <c r="AK69" s="30"/>
      <c r="AL69" s="217"/>
      <c r="AM69" s="217"/>
      <c r="AN69" s="30"/>
      <c r="AO69" s="217"/>
      <c r="AP69" s="217"/>
      <c r="AQ69" s="30"/>
      <c r="AR69" s="30"/>
      <c r="AS69" s="30"/>
      <c r="AT69" s="30"/>
      <c r="AU69" s="30"/>
    </row>
    <row r="70" spans="1:47" hidden="1" outlineLevel="1" x14ac:dyDescent="0.2">
      <c r="A70" s="61">
        <f>Indexes!A70</f>
        <v>18</v>
      </c>
      <c r="B70" s="208" t="str">
        <f>IF(Contribute="abcd",IF($A$2&lt;&gt;-1,_xll.RtContribute(SourceAlias,G70,Fields,H70:I70,"SCOPE:SERVER"),_xll.RtContribute(SourceAlias,"DDS_INSERT_S",$A$2:$C$2,G70:I70,"SCOPE:SERVER FTC:ALL")),"stopped")</f>
        <v>stopped</v>
      </c>
      <c r="C70" s="29"/>
      <c r="D70" s="207"/>
      <c r="E70" s="99"/>
      <c r="G70" s="131"/>
      <c r="H70" s="132">
        <f>IF(Pricing!$B70=0,Pricing!$B70*100+0.000001,Pricing!$B70*100)</f>
        <v>9.9999999999999995E-7</v>
      </c>
      <c r="I70" s="133">
        <f t="shared" ref="I70:I133" si="12">H70</f>
        <v>9.9999999999999995E-7</v>
      </c>
      <c r="J70" s="128"/>
      <c r="K70" s="132"/>
      <c r="L70" s="133"/>
      <c r="M70" s="128" t="str">
        <f t="shared" si="10"/>
        <v>EURYC6M18X24F</v>
      </c>
      <c r="N70" s="132">
        <f>Pricing!$D70*100</f>
        <v>0.24799999999998257</v>
      </c>
      <c r="O70" s="133">
        <f>Pricing!$D70*100</f>
        <v>0.24799999999998257</v>
      </c>
      <c r="P70" s="131" t="str">
        <f t="shared" si="11"/>
        <v>EURYC1Y18X30F</v>
      </c>
      <c r="Q70" s="132">
        <f>Pricing!$E70*100</f>
        <v>0.42139999999281469</v>
      </c>
      <c r="R70" s="133">
        <f>Pricing!$E70*100</f>
        <v>0.42139999999281469</v>
      </c>
      <c r="V70" s="132"/>
      <c r="W70" s="133"/>
      <c r="Y70" s="132"/>
      <c r="Z70" s="133"/>
      <c r="AB70" s="132">
        <v>1.1200000000000001</v>
      </c>
      <c r="AC70" s="133">
        <v>1.1200000000000001</v>
      </c>
      <c r="AE70" s="132">
        <v>1.4426909999999999</v>
      </c>
      <c r="AF70" s="133">
        <v>1.4426909999999999</v>
      </c>
      <c r="AH70" s="30"/>
      <c r="AI70" s="217"/>
      <c r="AJ70" s="217"/>
      <c r="AK70" s="30"/>
      <c r="AL70" s="217"/>
      <c r="AM70" s="217"/>
      <c r="AN70" s="30"/>
      <c r="AO70" s="217"/>
      <c r="AP70" s="217"/>
      <c r="AQ70" s="30"/>
      <c r="AR70" s="30"/>
      <c r="AS70" s="30"/>
      <c r="AT70" s="30"/>
      <c r="AU70" s="30"/>
    </row>
    <row r="71" spans="1:47" collapsed="1" x14ac:dyDescent="0.2">
      <c r="A71" s="70" t="str">
        <f>Pricing!$A71</f>
        <v>1Y</v>
      </c>
      <c r="B71" s="59"/>
      <c r="C71" s="208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208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212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4" t="str">
        <f t="shared" ref="G71:G102" si="13">G$4&amp;"_AB1E"&amp;IF(UPPER(Start)="1W","1WFWD_","_")&amp;$A71</f>
        <v>EURYC1M_AB1E_1Y</v>
      </c>
      <c r="H71" s="126">
        <f>IF(Pricing!$B71=0,Pricing!$B71*100+0.000001,Pricing!$B71*100)</f>
        <v>-4.0552486187786247E-3</v>
      </c>
      <c r="I71" s="126">
        <f t="shared" si="12"/>
        <v>-4.0552486187786247E-3</v>
      </c>
      <c r="J71" s="59" t="str">
        <f t="shared" ref="J71:J102" si="14">Currency&amp;"_CURVE_"&amp;J$3&amp;"M_"&amp;$A71</f>
        <v>EUR_CURVE_3M_1Y</v>
      </c>
      <c r="K71" s="126">
        <f>Pricing!$C71*100</f>
        <v>7.980812798892252E-2</v>
      </c>
      <c r="L71" s="126">
        <f>Pricing!$C71*100</f>
        <v>7.980812798892252E-2</v>
      </c>
      <c r="M71" s="59" t="str">
        <f>Currency&amp;"AB"&amp;M$3&amp;"R"&amp;A71&amp;"="</f>
        <v>EURAB6R1Y=</v>
      </c>
      <c r="N71" s="126">
        <f>Pricing!$D71*100</f>
        <v>0.18461208179510274</v>
      </c>
      <c r="O71" s="127">
        <f>Pricing!$D71*100</f>
        <v>0.18461208179510274</v>
      </c>
      <c r="P71" s="59" t="str">
        <f>Currency&amp;"_CURVE_"&amp;P$3&amp;"M_"&amp;$A71</f>
        <v>EUR_CURVE_12M_1Y</v>
      </c>
      <c r="Q71" s="126">
        <f>Pricing!$E71*100</f>
        <v>0.36446546958289505</v>
      </c>
      <c r="R71" s="127">
        <f>Pricing!$E71*100</f>
        <v>0.36446546958289505</v>
      </c>
      <c r="V71" s="126">
        <v>0.50891299999999995</v>
      </c>
      <c r="W71" s="126">
        <v>0.50891299999999995</v>
      </c>
      <c r="Y71" s="126">
        <v>7.8754803999999998E-2</v>
      </c>
      <c r="Z71" s="126">
        <v>7.8754803999999998E-2</v>
      </c>
      <c r="AB71" s="126">
        <v>0.18543479500000001</v>
      </c>
      <c r="AC71" s="126">
        <v>0.18543479500000001</v>
      </c>
      <c r="AE71" s="126">
        <v>0.36499999999999999</v>
      </c>
      <c r="AF71" s="126">
        <v>0.36499999999999999</v>
      </c>
      <c r="AH71" s="30"/>
      <c r="AI71" s="30"/>
      <c r="AJ71" s="30"/>
      <c r="AK71" s="30">
        <f>(Y71-K71+Z71-L71)/2</f>
        <v>-1.0533239889225221E-3</v>
      </c>
      <c r="AL71" s="30"/>
      <c r="AM71" s="30"/>
      <c r="AN71" s="30">
        <f>(AB71-N71+AC71-O71)/2</f>
        <v>8.2271320489726851E-4</v>
      </c>
      <c r="AO71" s="30"/>
      <c r="AP71" s="30"/>
      <c r="AQ71" s="30">
        <f>(AE71-Q71+AF71-R71)/2</f>
        <v>5.345304171049392E-4</v>
      </c>
      <c r="AR71" s="30"/>
      <c r="AS71" s="30"/>
      <c r="AT71" s="30"/>
      <c r="AU71" s="30"/>
    </row>
    <row r="72" spans="1:47" x14ac:dyDescent="0.2">
      <c r="A72" s="70" t="str">
        <f>Pricing!$A72</f>
        <v>1Y3M</v>
      </c>
      <c r="B72" s="208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205"/>
      <c r="D72" s="205"/>
      <c r="E72" s="206"/>
      <c r="G72" s="128" t="str">
        <f t="shared" si="13"/>
        <v>EURYC1M_AB1E_1Y3M</v>
      </c>
      <c r="H72" s="129">
        <f>IF(Pricing!$B72=0,Pricing!$B72*100+0.000001,Pricing!$B72*100)</f>
        <v>-5.5213356389406196E-3</v>
      </c>
      <c r="I72" s="129">
        <f t="shared" si="12"/>
        <v>-5.5213356389406196E-3</v>
      </c>
      <c r="J72" s="59" t="str">
        <f t="shared" si="14"/>
        <v>EUR_CURVE_3M_1Y3M</v>
      </c>
      <c r="K72" s="129">
        <f>Pricing!$C72*100</f>
        <v>8.0469227000162402E-2</v>
      </c>
      <c r="L72" s="129">
        <f>Pricing!$C72*100</f>
        <v>8.0469227000162402E-2</v>
      </c>
      <c r="M72" s="59"/>
      <c r="N72" s="129"/>
      <c r="O72" s="130"/>
      <c r="P72" s="59"/>
      <c r="Q72" s="129"/>
      <c r="R72" s="130"/>
      <c r="V72" s="129">
        <v>-5.746162E-3</v>
      </c>
      <c r="W72" s="129">
        <v>-5.746162E-3</v>
      </c>
      <c r="Y72" s="129" t="s">
        <v>126</v>
      </c>
      <c r="Z72" s="129" t="s">
        <v>126</v>
      </c>
      <c r="AB72" s="129"/>
      <c r="AC72" s="129"/>
      <c r="AE72" s="129"/>
      <c r="AF72" s="129"/>
      <c r="AH72" s="30">
        <f t="shared" ref="AH72:AH126" si="15">(V72-H72+W72-I72)/2</f>
        <v>-2.2482636105938033E-4</v>
      </c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x14ac:dyDescent="0.2">
      <c r="A73" s="70" t="str">
        <f>Pricing!$A73</f>
        <v>1Y6M</v>
      </c>
      <c r="B73" s="208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205"/>
      <c r="D73" s="205"/>
      <c r="E73" s="206"/>
      <c r="G73" s="128" t="str">
        <f t="shared" si="13"/>
        <v>EURYC1M_AB1E_1Y6M</v>
      </c>
      <c r="H73" s="129">
        <f>IF(Pricing!$B73=0,Pricing!$B73*100+0.000001,Pricing!$B73*100)</f>
        <v>-4.0822639243786119E-3</v>
      </c>
      <c r="I73" s="129">
        <f t="shared" si="12"/>
        <v>-4.0822639243786119E-3</v>
      </c>
      <c r="J73" s="59" t="str">
        <f t="shared" si="14"/>
        <v>EUR_CURVE_3M_1Y6M</v>
      </c>
      <c r="K73" s="129">
        <f>Pricing!$C73*100</f>
        <v>8.3416205704828411E-2</v>
      </c>
      <c r="L73" s="129">
        <f>Pricing!$C73*100</f>
        <v>8.3416205704828411E-2</v>
      </c>
      <c r="M73" s="59" t="str">
        <f>Currency&amp;"AB"&amp;M$3&amp;"R"&amp;A73&amp;"="</f>
        <v>EURAB6R1Y6M=</v>
      </c>
      <c r="N73" s="129">
        <f>Pricing!$D73*100</f>
        <v>0.18979514302532063</v>
      </c>
      <c r="O73" s="130">
        <f>Pricing!$D73*100</f>
        <v>0.18979514302532063</v>
      </c>
      <c r="P73" s="59"/>
      <c r="Q73" s="129"/>
      <c r="R73" s="130"/>
      <c r="V73" s="129">
        <v>-4.4253620000000004E-3</v>
      </c>
      <c r="W73" s="129">
        <v>-4.4253620000000004E-3</v>
      </c>
      <c r="Y73" s="129" t="s">
        <v>126</v>
      </c>
      <c r="Z73" s="129" t="s">
        <v>126</v>
      </c>
      <c r="AB73" s="129" t="s">
        <v>126</v>
      </c>
      <c r="AC73" s="129" t="s">
        <v>126</v>
      </c>
      <c r="AE73" s="129"/>
      <c r="AF73" s="129"/>
      <c r="AH73" s="30">
        <f t="shared" si="15"/>
        <v>-3.4309807562138851E-4</v>
      </c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x14ac:dyDescent="0.2">
      <c r="A74" s="70" t="str">
        <f>Pricing!$A74</f>
        <v>1Y9M</v>
      </c>
      <c r="B74" s="208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205"/>
      <c r="D74" s="205"/>
      <c r="E74" s="206"/>
      <c r="G74" s="128" t="str">
        <f t="shared" si="13"/>
        <v>EURYC1M_AB1E_1Y9M</v>
      </c>
      <c r="H74" s="129">
        <f>IF(Pricing!$B74=0,Pricing!$B74*100+0.000001,Pricing!$B74*100)</f>
        <v>-1.7454828614477751E-4</v>
      </c>
      <c r="I74" s="129">
        <f t="shared" si="12"/>
        <v>-1.7454828614477751E-4</v>
      </c>
      <c r="J74" s="59" t="str">
        <f t="shared" si="14"/>
        <v>EUR_CURVE_3M_1Y9M</v>
      </c>
      <c r="K74" s="129">
        <f>Pricing!$C74*100</f>
        <v>8.8495491011790162E-2</v>
      </c>
      <c r="L74" s="129">
        <f>Pricing!$C74*100</f>
        <v>8.8495491011790162E-2</v>
      </c>
      <c r="M74" s="59"/>
      <c r="N74" s="129"/>
      <c r="O74" s="130"/>
      <c r="P74" s="59"/>
      <c r="Q74" s="129"/>
      <c r="R74" s="130"/>
      <c r="V74" s="129">
        <v>-3.5587299999999999E-4</v>
      </c>
      <c r="W74" s="129">
        <v>-3.5587299999999999E-4</v>
      </c>
      <c r="Y74" s="129" t="s">
        <v>126</v>
      </c>
      <c r="Z74" s="129" t="s">
        <v>126</v>
      </c>
      <c r="AB74" s="129"/>
      <c r="AC74" s="129"/>
      <c r="AE74" s="129"/>
      <c r="AF74" s="129"/>
      <c r="AH74" s="30">
        <f t="shared" si="15"/>
        <v>-1.8132471385522245E-4</v>
      </c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x14ac:dyDescent="0.2">
      <c r="A75" s="70" t="str">
        <f>Pricing!$A75</f>
        <v>2Y</v>
      </c>
      <c r="B75" s="208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208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208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212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28" t="str">
        <f t="shared" si="13"/>
        <v>EURYC1M_AB1E_2Y</v>
      </c>
      <c r="H75" s="129">
        <f>IF(Pricing!$B75=0,Pricing!$B75*100+0.000001,Pricing!$B75*100)</f>
        <v>5.9999999743373094E-3</v>
      </c>
      <c r="I75" s="129">
        <f t="shared" si="12"/>
        <v>5.9999999743373094E-3</v>
      </c>
      <c r="J75" s="59" t="str">
        <f t="shared" si="14"/>
        <v>EUR_CURVE_3M_2Y</v>
      </c>
      <c r="K75" s="129">
        <f>Pricing!$C75*100</f>
        <v>9.6080047654632128E-2</v>
      </c>
      <c r="L75" s="129">
        <f>Pricing!$C75*100</f>
        <v>9.6080047654632128E-2</v>
      </c>
      <c r="M75" s="59" t="str">
        <f>Currency&amp;"AB"&amp;M$3&amp;"R"&amp;A75&amp;"="</f>
        <v>EURAB6R2Y=</v>
      </c>
      <c r="N75" s="129">
        <f>Pricing!$D75*100</f>
        <v>0.20547902390189965</v>
      </c>
      <c r="O75" s="130">
        <f>Pricing!$D75*100</f>
        <v>0.20547902390189965</v>
      </c>
      <c r="P75" s="59" t="str">
        <f>Currency&amp;"_CURVE_"&amp;P$3&amp;"M_"&amp;$A75</f>
        <v>EUR_CURVE_12M_2Y</v>
      </c>
      <c r="Q75" s="129">
        <f>Pricing!$E75*100</f>
        <v>0.36254593186082473</v>
      </c>
      <c r="R75" s="130">
        <f>Pricing!$E75*100</f>
        <v>0.36254593186082473</v>
      </c>
      <c r="V75" s="129">
        <v>6.0000000000000001E-3</v>
      </c>
      <c r="W75" s="129">
        <v>6.0000000000000001E-3</v>
      </c>
      <c r="Y75" s="129">
        <v>9.5512444000000002E-2</v>
      </c>
      <c r="Z75" s="129">
        <v>9.5512444000000002E-2</v>
      </c>
      <c r="AB75" s="129">
        <v>0.20620003200000001</v>
      </c>
      <c r="AC75" s="129">
        <v>0.20620003200000001</v>
      </c>
      <c r="AE75" s="129">
        <v>0.36294676199999998</v>
      </c>
      <c r="AF75" s="129">
        <v>0.36294676199999998</v>
      </c>
      <c r="AH75" s="30">
        <f t="shared" si="15"/>
        <v>2.5662690722461079E-11</v>
      </c>
      <c r="AI75" s="30"/>
      <c r="AJ75" s="30"/>
      <c r="AK75" s="30">
        <f>(Y75-K75+Z75-L75)/2</f>
        <v>-5.6760365463212614E-4</v>
      </c>
      <c r="AL75" s="30"/>
      <c r="AM75" s="30"/>
      <c r="AN75" s="30">
        <f>(AB75-N75+AC75-O75)/2</f>
        <v>7.2100809810035638E-4</v>
      </c>
      <c r="AO75" s="30"/>
      <c r="AP75" s="30"/>
      <c r="AQ75" s="30">
        <f>(AE75-Q75+AF75-R75)/2</f>
        <v>4.0083013917524557E-4</v>
      </c>
      <c r="AR75" s="30"/>
      <c r="AS75" s="30"/>
      <c r="AT75" s="30"/>
      <c r="AU75" s="30"/>
    </row>
    <row r="76" spans="1:47" x14ac:dyDescent="0.2">
      <c r="A76" s="70" t="str">
        <f>Pricing!$A76</f>
        <v>2Y3M</v>
      </c>
      <c r="B76" s="208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205"/>
      <c r="D76" s="205"/>
      <c r="E76" s="206"/>
      <c r="G76" s="128" t="str">
        <f t="shared" si="13"/>
        <v>EURYC1M_AB1E_2Y3M</v>
      </c>
      <c r="H76" s="129">
        <f>IF(Pricing!$B76=0,Pricing!$B76*100+0.000001,Pricing!$B76*100)</f>
        <v>1.4333917398061729E-2</v>
      </c>
      <c r="I76" s="129">
        <f t="shared" si="12"/>
        <v>1.4333917398061729E-2</v>
      </c>
      <c r="J76" s="59" t="str">
        <f t="shared" si="14"/>
        <v>EUR_CURVE_3M_2Y3M</v>
      </c>
      <c r="K76" s="129">
        <f>Pricing!$C76*100</f>
        <v>0.10594192622990974</v>
      </c>
      <c r="L76" s="129">
        <f>Pricing!$C76*100</f>
        <v>0.10594192622990974</v>
      </c>
      <c r="M76" s="59"/>
      <c r="N76" s="129"/>
      <c r="O76" s="130"/>
      <c r="P76" s="59"/>
      <c r="Q76" s="129"/>
      <c r="R76" s="130"/>
      <c r="V76" s="129">
        <v>1.459271E-2</v>
      </c>
      <c r="W76" s="129">
        <v>1.459271E-2</v>
      </c>
      <c r="Y76" s="129" t="s">
        <v>126</v>
      </c>
      <c r="Z76" s="129" t="s">
        <v>126</v>
      </c>
      <c r="AB76" s="129"/>
      <c r="AC76" s="129"/>
      <c r="AE76" s="129"/>
      <c r="AF76" s="129"/>
      <c r="AH76" s="30">
        <f t="shared" si="15"/>
        <v>2.5879260193827081E-4</v>
      </c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x14ac:dyDescent="0.2">
      <c r="A77" s="70" t="str">
        <f>Pricing!$A77</f>
        <v>2Y6M</v>
      </c>
      <c r="B77" s="208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205"/>
      <c r="D77" s="205"/>
      <c r="E77" s="206"/>
      <c r="G77" s="128" t="str">
        <f t="shared" si="13"/>
        <v>EURYC1M_AB1E_2Y6M</v>
      </c>
      <c r="H77" s="129">
        <f>IF(Pricing!$B77=0,Pricing!$B77*100+0.000001,Pricing!$B77*100)</f>
        <v>2.4847340821994322E-2</v>
      </c>
      <c r="I77" s="129">
        <f t="shared" si="12"/>
        <v>2.4847340821994322E-2</v>
      </c>
      <c r="J77" s="59" t="str">
        <f t="shared" si="14"/>
        <v>EUR_CURVE_3M_2Y6M</v>
      </c>
      <c r="K77" s="129">
        <f>Pricing!$C77*100</f>
        <v>0.11813002461767354</v>
      </c>
      <c r="L77" s="129">
        <f>Pricing!$C77*100</f>
        <v>0.11813002461767354</v>
      </c>
      <c r="M77" s="59" t="str">
        <f>Currency&amp;"AB"&amp;M$3&amp;"R"&amp;A77&amp;"="</f>
        <v>EURAB6R2Y6M=</v>
      </c>
      <c r="N77" s="129">
        <f>Pricing!$D77*100</f>
        <v>0.23000629827647545</v>
      </c>
      <c r="O77" s="130">
        <f>Pricing!$D77*100</f>
        <v>0.23000629827647545</v>
      </c>
      <c r="P77" s="59"/>
      <c r="Q77" s="129"/>
      <c r="R77" s="130"/>
      <c r="V77" s="129">
        <v>2.5295926E-2</v>
      </c>
      <c r="W77" s="129">
        <v>2.5295926E-2</v>
      </c>
      <c r="Y77" s="129" t="s">
        <v>126</v>
      </c>
      <c r="Z77" s="129" t="s">
        <v>126</v>
      </c>
      <c r="AB77" s="129" t="s">
        <v>126</v>
      </c>
      <c r="AC77" s="129" t="s">
        <v>126</v>
      </c>
      <c r="AE77" s="129"/>
      <c r="AF77" s="129"/>
      <c r="AH77" s="30">
        <f t="shared" si="15"/>
        <v>4.4858517800567752E-4</v>
      </c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x14ac:dyDescent="0.2">
      <c r="A78" s="70" t="str">
        <f>Pricing!$A78</f>
        <v>2Y9M</v>
      </c>
      <c r="B78" s="208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205"/>
      <c r="D78" s="205"/>
      <c r="E78" s="206"/>
      <c r="G78" s="128" t="str">
        <f t="shared" si="13"/>
        <v>EURYC1M_AB1E_2Y9M</v>
      </c>
      <c r="H78" s="129">
        <f>IF(Pricing!$B78=0,Pricing!$B78*100+0.000001,Pricing!$B78*100)</f>
        <v>3.767636610045378E-2</v>
      </c>
      <c r="I78" s="129">
        <f t="shared" si="12"/>
        <v>3.767636610045378E-2</v>
      </c>
      <c r="J78" s="59" t="str">
        <f t="shared" si="14"/>
        <v>EUR_CURVE_3M_2Y9M</v>
      </c>
      <c r="K78" s="129">
        <f>Pricing!$C78*100</f>
        <v>0.13314227571958778</v>
      </c>
      <c r="L78" s="129">
        <f>Pricing!$C78*100</f>
        <v>0.13314227571958778</v>
      </c>
      <c r="M78" s="59"/>
      <c r="N78" s="129"/>
      <c r="O78" s="130"/>
      <c r="P78" s="59"/>
      <c r="Q78" s="129"/>
      <c r="R78" s="130"/>
      <c r="V78" s="129">
        <v>3.8125477999999997E-2</v>
      </c>
      <c r="W78" s="129">
        <v>3.8125477999999997E-2</v>
      </c>
      <c r="Y78" s="129" t="s">
        <v>126</v>
      </c>
      <c r="Z78" s="129" t="s">
        <v>126</v>
      </c>
      <c r="AB78" s="129"/>
      <c r="AC78" s="129"/>
      <c r="AE78" s="129"/>
      <c r="AF78" s="129"/>
      <c r="AH78" s="30">
        <f t="shared" si="15"/>
        <v>4.4911189954621733E-4</v>
      </c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x14ac:dyDescent="0.2">
      <c r="A79" s="70" t="str">
        <f>Pricing!$A79</f>
        <v>3Y</v>
      </c>
      <c r="B79" s="208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208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208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212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28" t="str">
        <f t="shared" si="13"/>
        <v>EURYC1M_AB1E_3Y</v>
      </c>
      <c r="H79" s="129">
        <f>IF(Pricing!$B79=0,Pricing!$B79*100+0.000001,Pricing!$B79*100)</f>
        <v>5.3000000029386117E-2</v>
      </c>
      <c r="I79" s="129">
        <f t="shared" si="12"/>
        <v>5.3000000029386117E-2</v>
      </c>
      <c r="J79" s="59" t="str">
        <f t="shared" si="14"/>
        <v>EUR_CURVE_3M_3Y</v>
      </c>
      <c r="K79" s="129">
        <f>Pricing!$C79*100</f>
        <v>0.15100000000004407</v>
      </c>
      <c r="L79" s="129">
        <f>Pricing!$C79*100</f>
        <v>0.15100000000004407</v>
      </c>
      <c r="M79" s="59" t="str">
        <f t="shared" ref="M79:M110" si="16">Currency&amp;"AB"&amp;M$3&amp;"R"&amp;A79&amp;"="</f>
        <v>EURAB6R3Y=</v>
      </c>
      <c r="N79" s="129">
        <f>Pricing!$D79*100</f>
        <v>0.26699999999987101</v>
      </c>
      <c r="O79" s="130">
        <f>Pricing!$D79*100</f>
        <v>0.26699999999987101</v>
      </c>
      <c r="P79" s="59" t="str">
        <f t="shared" ref="P79:P110" si="17">Currency&amp;"_CURVE_"&amp;P$3&amp;"M_"&amp;$A79</f>
        <v>EUR_CURVE_12M_3Y</v>
      </c>
      <c r="Q79" s="129">
        <f>Pricing!$E79*100</f>
        <v>0.42000000000000204</v>
      </c>
      <c r="R79" s="130">
        <f>Pricing!$E79*100</f>
        <v>0.42000000000000204</v>
      </c>
      <c r="V79" s="129">
        <v>5.2999999999999999E-2</v>
      </c>
      <c r="W79" s="129">
        <v>5.2999999999999999E-2</v>
      </c>
      <c r="Y79" s="129">
        <v>0.151</v>
      </c>
      <c r="Z79" s="129">
        <v>0.151</v>
      </c>
      <c r="AB79" s="129">
        <v>0.26700000000000002</v>
      </c>
      <c r="AC79" s="129">
        <v>0.26700000000000002</v>
      </c>
      <c r="AE79" s="129">
        <v>0.42</v>
      </c>
      <c r="AF79" s="129">
        <v>0.42</v>
      </c>
      <c r="AH79" s="30">
        <f t="shared" si="15"/>
        <v>-2.9386118538532457E-11</v>
      </c>
      <c r="AI79" s="30"/>
      <c r="AJ79" s="30"/>
      <c r="AK79" s="30">
        <f t="shared" ref="AK79:AK136" si="18">(Y79-K79+Z79-L79)/2</f>
        <v>-4.4075854077618715E-14</v>
      </c>
      <c r="AL79" s="30"/>
      <c r="AM79" s="30"/>
      <c r="AN79" s="30">
        <f t="shared" ref="AN79:AN126" si="19">(AB79-N79+AC79-O79)/2</f>
        <v>1.2900791546144319E-13</v>
      </c>
      <c r="AO79" s="30"/>
      <c r="AP79" s="30"/>
      <c r="AQ79" s="30">
        <f t="shared" ref="AQ79:AQ126" si="20">(AE79-Q79+AF79-R79)/2</f>
        <v>-2.0539125955565396E-15</v>
      </c>
      <c r="AR79" s="30"/>
      <c r="AS79" s="30"/>
      <c r="AT79" s="30"/>
      <c r="AU79" s="30"/>
    </row>
    <row r="80" spans="1:47" x14ac:dyDescent="0.2">
      <c r="A80" s="70" t="str">
        <f>Pricing!$A80</f>
        <v>4Y</v>
      </c>
      <c r="B80" s="208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208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208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212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28" t="str">
        <f t="shared" si="13"/>
        <v>EURYC1M_AB1E_4Y</v>
      </c>
      <c r="H80" s="129">
        <f>IF(Pricing!$B80=0,Pricing!$B80*100+0.000001,Pricing!$B80*100)</f>
        <v>0.13599999999999529</v>
      </c>
      <c r="I80" s="129">
        <f t="shared" si="12"/>
        <v>0.13599999999999529</v>
      </c>
      <c r="J80" s="59" t="str">
        <f t="shared" si="14"/>
        <v>EUR_CURVE_3M_4Y</v>
      </c>
      <c r="K80" s="129">
        <f>Pricing!$C80*100</f>
        <v>0.24500000000027491</v>
      </c>
      <c r="L80" s="129">
        <f>Pricing!$C80*100</f>
        <v>0.24500000000027491</v>
      </c>
      <c r="M80" s="59" t="str">
        <f t="shared" si="16"/>
        <v>EURAB6R4Y=</v>
      </c>
      <c r="N80" s="129">
        <f>Pricing!$D80*100</f>
        <v>0.36699999999957511</v>
      </c>
      <c r="O80" s="130">
        <f>Pricing!$D80*100</f>
        <v>0.36699999999957511</v>
      </c>
      <c r="P80" s="59" t="str">
        <f t="shared" si="17"/>
        <v>EUR_CURVE_12M_4Y</v>
      </c>
      <c r="Q80" s="129">
        <f>Pricing!$E80*100</f>
        <v>0.52000000000001101</v>
      </c>
      <c r="R80" s="130">
        <f>Pricing!$E80*100</f>
        <v>0.52000000000001101</v>
      </c>
      <c r="V80" s="129">
        <v>0.13300000000000001</v>
      </c>
      <c r="W80" s="129">
        <v>0.13300000000000001</v>
      </c>
      <c r="Y80" s="129">
        <v>0.24199999999999999</v>
      </c>
      <c r="Z80" s="129">
        <v>0.24199999999999999</v>
      </c>
      <c r="AB80" s="129">
        <v>0.36399999999999999</v>
      </c>
      <c r="AC80" s="129">
        <v>0.36399999999999999</v>
      </c>
      <c r="AE80" s="129">
        <v>0.51600000000000001</v>
      </c>
      <c r="AF80" s="129">
        <v>0.51600000000000001</v>
      </c>
      <c r="AH80" s="30">
        <f t="shared" si="15"/>
        <v>-2.9999999999952842E-3</v>
      </c>
      <c r="AI80" s="30"/>
      <c r="AJ80" s="30"/>
      <c r="AK80" s="30">
        <f t="shared" si="18"/>
        <v>-3.0000000002749216E-3</v>
      </c>
      <c r="AL80" s="30"/>
      <c r="AM80" s="30"/>
      <c r="AN80" s="30">
        <f t="shared" si="19"/>
        <v>-2.9999999995751203E-3</v>
      </c>
      <c r="AO80" s="30"/>
      <c r="AP80" s="30"/>
      <c r="AQ80" s="30">
        <f t="shared" si="20"/>
        <v>-4.0000000000109948E-3</v>
      </c>
      <c r="AR80" s="30"/>
      <c r="AS80" s="30"/>
      <c r="AT80" s="30"/>
      <c r="AU80" s="30"/>
    </row>
    <row r="81" spans="1:47" x14ac:dyDescent="0.2">
      <c r="A81" s="70" t="str">
        <f>Pricing!$A81</f>
        <v>5Y</v>
      </c>
      <c r="B81" s="208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208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208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212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28" t="str">
        <f t="shared" si="13"/>
        <v>EURYC1M_AB1E_5Y</v>
      </c>
      <c r="H81" s="129">
        <f>IF(Pricing!$B81=0,Pricing!$B81*100+0.000001,Pricing!$B81*100)</f>
        <v>0.24900000000004943</v>
      </c>
      <c r="I81" s="129">
        <f t="shared" si="12"/>
        <v>0.24900000000004943</v>
      </c>
      <c r="J81" s="59" t="str">
        <f t="shared" si="14"/>
        <v>EUR_CURVE_3M_5Y</v>
      </c>
      <c r="K81" s="129">
        <f>Pricing!$C81*100</f>
        <v>0.36500000000071586</v>
      </c>
      <c r="L81" s="129">
        <f>Pricing!$C81*100</f>
        <v>0.36500000000071586</v>
      </c>
      <c r="M81" s="59" t="str">
        <f t="shared" si="16"/>
        <v>EURAB6R5Y=</v>
      </c>
      <c r="N81" s="129">
        <f>Pricing!$D81*100</f>
        <v>0.49099999999765059</v>
      </c>
      <c r="O81" s="130">
        <f>Pricing!$D81*100</f>
        <v>0.49099999999765059</v>
      </c>
      <c r="P81" s="59" t="str">
        <f t="shared" si="17"/>
        <v>EUR_CURVE_12M_5Y</v>
      </c>
      <c r="Q81" s="129">
        <f>Pricing!$E81*100</f>
        <v>0.64400000000000213</v>
      </c>
      <c r="R81" s="130">
        <f>Pricing!$E81*100</f>
        <v>0.64400000000000213</v>
      </c>
      <c r="V81" s="129">
        <v>0.24399999999999999</v>
      </c>
      <c r="W81" s="129">
        <v>0.24399999999999999</v>
      </c>
      <c r="Y81" s="129">
        <v>0.35899999999999999</v>
      </c>
      <c r="Z81" s="129">
        <v>0.35899999999999999</v>
      </c>
      <c r="AB81" s="129">
        <v>0.48499999999999999</v>
      </c>
      <c r="AC81" s="129">
        <v>0.48499999999999999</v>
      </c>
      <c r="AE81" s="129">
        <v>0.63700000000000001</v>
      </c>
      <c r="AF81" s="129">
        <v>0.63700000000000001</v>
      </c>
      <c r="AH81" s="30">
        <f t="shared" si="15"/>
        <v>-5.0000000000494371E-3</v>
      </c>
      <c r="AI81" s="30"/>
      <c r="AJ81" s="30"/>
      <c r="AK81" s="30">
        <f t="shared" si="18"/>
        <v>-6.0000000007158771E-3</v>
      </c>
      <c r="AL81" s="30"/>
      <c r="AM81" s="30"/>
      <c r="AN81" s="30">
        <f t="shared" si="19"/>
        <v>-5.9999999976506069E-3</v>
      </c>
      <c r="AO81" s="30"/>
      <c r="AP81" s="30"/>
      <c r="AQ81" s="30">
        <f t="shared" si="20"/>
        <v>-7.0000000000021156E-3</v>
      </c>
      <c r="AR81" s="30"/>
      <c r="AS81" s="30"/>
      <c r="AT81" s="30"/>
      <c r="AU81" s="30"/>
    </row>
    <row r="82" spans="1:47" x14ac:dyDescent="0.2">
      <c r="A82" s="70" t="str">
        <f>Pricing!$A82</f>
        <v>6Y</v>
      </c>
      <c r="B82" s="208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208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208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212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28" t="str">
        <f t="shared" si="13"/>
        <v>EURYC1M_AB1E_6Y</v>
      </c>
      <c r="H82" s="129">
        <f>IF(Pricing!$B82=0,Pricing!$B82*100+0.000001,Pricing!$B82*100)</f>
        <v>0.38399999998633605</v>
      </c>
      <c r="I82" s="129">
        <f t="shared" si="12"/>
        <v>0.38399999998633605</v>
      </c>
      <c r="J82" s="59" t="str">
        <f t="shared" si="14"/>
        <v>EUR_CURVE_3M_6Y</v>
      </c>
      <c r="K82" s="129">
        <f>Pricing!$C82*100</f>
        <v>0.50300000000133505</v>
      </c>
      <c r="L82" s="129">
        <f>Pricing!$C82*100</f>
        <v>0.50300000000133505</v>
      </c>
      <c r="M82" s="59" t="str">
        <f t="shared" si="16"/>
        <v>EURAB6R6Y=</v>
      </c>
      <c r="N82" s="129">
        <f>Pricing!$D82*100</f>
        <v>0.63099999999767142</v>
      </c>
      <c r="O82" s="130">
        <f>Pricing!$D82*100</f>
        <v>0.63099999999767142</v>
      </c>
      <c r="P82" s="59" t="str">
        <f t="shared" si="17"/>
        <v>EUR_CURVE_12M_6Y</v>
      </c>
      <c r="Q82" s="129">
        <f>Pricing!$E82*100</f>
        <v>0.78300000000000836</v>
      </c>
      <c r="R82" s="130">
        <f>Pricing!$E82*100</f>
        <v>0.78300000000000836</v>
      </c>
      <c r="V82" s="129">
        <v>0.378</v>
      </c>
      <c r="W82" s="129">
        <v>0.378</v>
      </c>
      <c r="Y82" s="129">
        <v>0.497</v>
      </c>
      <c r="Z82" s="129">
        <v>0.497</v>
      </c>
      <c r="AB82" s="129">
        <v>0.625</v>
      </c>
      <c r="AC82" s="129">
        <v>0.625</v>
      </c>
      <c r="AE82" s="129">
        <v>0.77700000000000002</v>
      </c>
      <c r="AF82" s="129">
        <v>0.77700000000000002</v>
      </c>
      <c r="AH82" s="30">
        <f t="shared" si="15"/>
        <v>-5.9999999863360465E-3</v>
      </c>
      <c r="AI82" s="30"/>
      <c r="AJ82" s="30"/>
      <c r="AK82" s="30">
        <f t="shared" si="18"/>
        <v>-6.0000000013350485E-3</v>
      </c>
      <c r="AL82" s="30"/>
      <c r="AM82" s="30"/>
      <c r="AN82" s="30">
        <f t="shared" si="19"/>
        <v>-5.9999999976714236E-3</v>
      </c>
      <c r="AO82" s="30"/>
      <c r="AP82" s="30"/>
      <c r="AQ82" s="30">
        <f t="shared" si="20"/>
        <v>-6.000000000008332E-3</v>
      </c>
      <c r="AR82" s="30"/>
      <c r="AS82" s="30"/>
      <c r="AT82" s="30"/>
      <c r="AU82" s="30"/>
    </row>
    <row r="83" spans="1:47" x14ac:dyDescent="0.2">
      <c r="A83" s="70" t="str">
        <f>Pricing!$A83</f>
        <v>7Y</v>
      </c>
      <c r="B83" s="208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208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208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212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28" t="str">
        <f t="shared" si="13"/>
        <v>EURYC1M_AB1E_7Y</v>
      </c>
      <c r="H83" s="129">
        <f>IF(Pricing!$B83=0,Pricing!$B83*100+0.000001,Pricing!$B83*100)</f>
        <v>0.53400000000014924</v>
      </c>
      <c r="I83" s="129">
        <f t="shared" si="12"/>
        <v>0.53400000000014924</v>
      </c>
      <c r="J83" s="59" t="str">
        <f t="shared" si="14"/>
        <v>EUR_CURVE_3M_7Y</v>
      </c>
      <c r="K83" s="129">
        <f>Pricing!$C83*100</f>
        <v>0.65600000000180891</v>
      </c>
      <c r="L83" s="129">
        <f>Pricing!$C83*100</f>
        <v>0.65600000000180891</v>
      </c>
      <c r="M83" s="59" t="str">
        <f t="shared" si="16"/>
        <v>EURAB6R7Y=</v>
      </c>
      <c r="N83" s="129">
        <f>Pricing!$D83*100</f>
        <v>0.78399999999691705</v>
      </c>
      <c r="O83" s="130">
        <f>Pricing!$D83*100</f>
        <v>0.78399999999691705</v>
      </c>
      <c r="P83" s="59" t="str">
        <f t="shared" si="17"/>
        <v>EUR_CURVE_12M_7Y</v>
      </c>
      <c r="Q83" s="129">
        <f>Pricing!$E83*100</f>
        <v>0.93500000000000494</v>
      </c>
      <c r="R83" s="130">
        <f>Pricing!$E83*100</f>
        <v>0.93500000000000494</v>
      </c>
      <c r="V83" s="129">
        <v>0.52800000000000002</v>
      </c>
      <c r="W83" s="129">
        <v>0.52800000000000002</v>
      </c>
      <c r="Y83" s="129">
        <v>0.65</v>
      </c>
      <c r="Z83" s="129">
        <v>0.65</v>
      </c>
      <c r="AB83" s="129">
        <v>0.77800000000000002</v>
      </c>
      <c r="AC83" s="129">
        <v>0.77800000000000002</v>
      </c>
      <c r="AE83" s="129">
        <v>0.92800000000000005</v>
      </c>
      <c r="AF83" s="129">
        <v>0.92800000000000005</v>
      </c>
      <c r="AH83" s="30">
        <f t="shared" si="15"/>
        <v>-6.0000000001492193E-3</v>
      </c>
      <c r="AI83" s="30"/>
      <c r="AJ83" s="30"/>
      <c r="AK83" s="30">
        <f t="shared" si="18"/>
        <v>-6.0000000018088917E-3</v>
      </c>
      <c r="AL83" s="30"/>
      <c r="AM83" s="30"/>
      <c r="AN83" s="30">
        <f t="shared" si="19"/>
        <v>-5.999999996917027E-3</v>
      </c>
      <c r="AO83" s="30"/>
      <c r="AP83" s="30"/>
      <c r="AQ83" s="30">
        <f t="shared" si="20"/>
        <v>-7.0000000000048912E-3</v>
      </c>
      <c r="AR83" s="30"/>
      <c r="AS83" s="30"/>
      <c r="AT83" s="30"/>
      <c r="AU83" s="30"/>
    </row>
    <row r="84" spans="1:47" x14ac:dyDescent="0.2">
      <c r="A84" s="70" t="str">
        <f>Pricing!$A84</f>
        <v>8Y</v>
      </c>
      <c r="B84" s="208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208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208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212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28" t="str">
        <f t="shared" si="13"/>
        <v>EURYC1M_AB1E_8Y</v>
      </c>
      <c r="H84" s="129">
        <f>IF(Pricing!$B84=0,Pricing!$B84*100+0.000001,Pricing!$B84*100)</f>
        <v>0.68500000000020522</v>
      </c>
      <c r="I84" s="129">
        <f t="shared" si="12"/>
        <v>0.68500000000020522</v>
      </c>
      <c r="J84" s="59" t="str">
        <f t="shared" si="14"/>
        <v>EUR_CURVE_3M_8Y</v>
      </c>
      <c r="K84" s="129">
        <f>Pricing!$C84*100</f>
        <v>0.809000000002429</v>
      </c>
      <c r="L84" s="129">
        <f>Pricing!$C84*100</f>
        <v>0.809000000002429</v>
      </c>
      <c r="M84" s="59" t="str">
        <f t="shared" si="16"/>
        <v>EURAB6R8Y=</v>
      </c>
      <c r="N84" s="129">
        <f>Pricing!$D84*100</f>
        <v>0.93499999999673167</v>
      </c>
      <c r="O84" s="130">
        <f>Pricing!$D84*100</f>
        <v>0.93499999999673167</v>
      </c>
      <c r="P84" s="59" t="str">
        <f t="shared" si="17"/>
        <v>EUR_CURVE_12M_8Y</v>
      </c>
      <c r="Q84" s="129">
        <f>Pricing!$E84*100</f>
        <v>1.0840000000000036</v>
      </c>
      <c r="R84" s="130">
        <f>Pricing!$E84*100</f>
        <v>1.0840000000000036</v>
      </c>
      <c r="V84" s="129">
        <v>0.67900000000000005</v>
      </c>
      <c r="W84" s="129">
        <v>0.67900000000000005</v>
      </c>
      <c r="Y84" s="129">
        <v>0.80300000000000005</v>
      </c>
      <c r="Z84" s="129">
        <v>0.80300000000000005</v>
      </c>
      <c r="AB84" s="129">
        <v>0.92900000000000005</v>
      </c>
      <c r="AC84" s="129">
        <v>0.92900000000000005</v>
      </c>
      <c r="AE84" s="129">
        <v>1.077</v>
      </c>
      <c r="AF84" s="129">
        <v>1.077</v>
      </c>
      <c r="AH84" s="30">
        <f t="shared" si="15"/>
        <v>-6.0000000002051745E-3</v>
      </c>
      <c r="AI84" s="30"/>
      <c r="AJ84" s="30"/>
      <c r="AK84" s="30">
        <f t="shared" si="18"/>
        <v>-6.0000000024289513E-3</v>
      </c>
      <c r="AL84" s="30"/>
      <c r="AM84" s="30"/>
      <c r="AN84" s="30">
        <f t="shared" si="19"/>
        <v>-5.9999999967316198E-3</v>
      </c>
      <c r="AO84" s="30"/>
      <c r="AP84" s="30"/>
      <c r="AQ84" s="30">
        <f t="shared" si="20"/>
        <v>-7.00000000000367E-3</v>
      </c>
      <c r="AR84" s="30"/>
      <c r="AS84" s="30"/>
      <c r="AT84" s="30"/>
      <c r="AU84" s="30"/>
    </row>
    <row r="85" spans="1:47" x14ac:dyDescent="0.2">
      <c r="A85" s="70" t="str">
        <f>Pricing!$A85</f>
        <v>9Y</v>
      </c>
      <c r="B85" s="208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208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208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212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28" t="str">
        <f t="shared" si="13"/>
        <v>EURYC1M_AB1E_9Y</v>
      </c>
      <c r="H85" s="129">
        <f>IF(Pricing!$B85=0,Pricing!$B85*100+0.000001,Pricing!$B85*100)</f>
        <v>0.83000000000003438</v>
      </c>
      <c r="I85" s="129">
        <f t="shared" si="12"/>
        <v>0.83000000000003438</v>
      </c>
      <c r="J85" s="59" t="str">
        <f t="shared" si="14"/>
        <v>EUR_CURVE_3M_9Y</v>
      </c>
      <c r="K85" s="129">
        <f>Pricing!$C85*100</f>
        <v>0.95500000000043073</v>
      </c>
      <c r="L85" s="129">
        <f>Pricing!$C85*100</f>
        <v>0.95500000000043073</v>
      </c>
      <c r="M85" s="59" t="str">
        <f t="shared" si="16"/>
        <v>EURAB6R9Y=</v>
      </c>
      <c r="N85" s="129">
        <f>Pricing!$D85*100</f>
        <v>1.0779999999969669</v>
      </c>
      <c r="O85" s="130">
        <f>Pricing!$D85*100</f>
        <v>1.0779999999969669</v>
      </c>
      <c r="P85" s="59" t="str">
        <f t="shared" si="17"/>
        <v>EUR_CURVE_12M_9Y</v>
      </c>
      <c r="Q85" s="129">
        <f>Pricing!$E85*100</f>
        <v>1.224000000000004</v>
      </c>
      <c r="R85" s="130">
        <f>Pricing!$E85*100</f>
        <v>1.224000000000004</v>
      </c>
      <c r="V85" s="129">
        <v>0.82399999999999995</v>
      </c>
      <c r="W85" s="129">
        <v>0.82399999999999995</v>
      </c>
      <c r="Y85" s="129">
        <v>0.94899999999999995</v>
      </c>
      <c r="Z85" s="129">
        <v>0.94899999999999995</v>
      </c>
      <c r="AB85" s="129">
        <v>1.0720000000000001</v>
      </c>
      <c r="AC85" s="129">
        <v>1.0720000000000001</v>
      </c>
      <c r="AE85" s="129">
        <v>1.218</v>
      </c>
      <c r="AF85" s="129">
        <v>1.218</v>
      </c>
      <c r="AH85" s="30">
        <f t="shared" si="15"/>
        <v>-6.0000000000344222E-3</v>
      </c>
      <c r="AI85" s="30"/>
      <c r="AJ85" s="30"/>
      <c r="AK85" s="30">
        <f t="shared" si="18"/>
        <v>-6.0000000004307719E-3</v>
      </c>
      <c r="AL85" s="30"/>
      <c r="AM85" s="30"/>
      <c r="AN85" s="30">
        <f t="shared" si="19"/>
        <v>-5.999999996966876E-3</v>
      </c>
      <c r="AO85" s="30"/>
      <c r="AP85" s="30"/>
      <c r="AQ85" s="30">
        <f t="shared" si="20"/>
        <v>-6.0000000000040021E-3</v>
      </c>
      <c r="AR85" s="30"/>
      <c r="AS85" s="30"/>
      <c r="AT85" s="30"/>
      <c r="AU85" s="30"/>
    </row>
    <row r="86" spans="1:47" x14ac:dyDescent="0.2">
      <c r="A86" s="70" t="str">
        <f>Pricing!$A86</f>
        <v>10Y</v>
      </c>
      <c r="B86" s="208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208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208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212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28" t="str">
        <f t="shared" si="13"/>
        <v>EURYC1M_AB1E_10Y</v>
      </c>
      <c r="H86" s="129">
        <f>IF(Pricing!$B86=0,Pricing!$B86*100+0.000001,Pricing!$B86*100)</f>
        <v>0.96099999999589514</v>
      </c>
      <c r="I86" s="129">
        <f t="shared" si="12"/>
        <v>0.96099999999589514</v>
      </c>
      <c r="J86" s="59" t="str">
        <f t="shared" si="14"/>
        <v>EUR_CURVE_3M_10Y</v>
      </c>
      <c r="K86" s="129">
        <f>Pricing!$C86*100</f>
        <v>1.0860000000009296</v>
      </c>
      <c r="L86" s="129">
        <f>Pricing!$C86*100</f>
        <v>1.0860000000009296</v>
      </c>
      <c r="M86" s="59" t="str">
        <f t="shared" si="16"/>
        <v>EURAB6R10Y=</v>
      </c>
      <c r="N86" s="129">
        <f>Pricing!$D86*100</f>
        <v>1.2059999999990039</v>
      </c>
      <c r="O86" s="130">
        <f>Pricing!$D86*100</f>
        <v>1.2059999999990039</v>
      </c>
      <c r="P86" s="59" t="str">
        <f t="shared" si="17"/>
        <v>EUR_CURVE_12M_10Y</v>
      </c>
      <c r="Q86" s="129">
        <f>Pricing!$E86*100</f>
        <v>1.3480000000000036</v>
      </c>
      <c r="R86" s="130">
        <f>Pricing!$E86*100</f>
        <v>1.3480000000000036</v>
      </c>
      <c r="V86" s="129">
        <v>0.95499999999999996</v>
      </c>
      <c r="W86" s="129">
        <v>0.95499999999999996</v>
      </c>
      <c r="Y86" s="129">
        <v>1.081</v>
      </c>
      <c r="Z86" s="129">
        <v>1.081</v>
      </c>
      <c r="AB86" s="129">
        <v>1.2</v>
      </c>
      <c r="AC86" s="129">
        <v>1.2</v>
      </c>
      <c r="AE86" s="129">
        <v>1.3420000000000001</v>
      </c>
      <c r="AF86" s="129">
        <v>1.3420000000000001</v>
      </c>
      <c r="AH86" s="30">
        <f t="shared" si="15"/>
        <v>-5.9999999958951777E-3</v>
      </c>
      <c r="AI86" s="30"/>
      <c r="AJ86" s="30"/>
      <c r="AK86" s="30">
        <f t="shared" si="18"/>
        <v>-5.0000000009295942E-3</v>
      </c>
      <c r="AL86" s="30"/>
      <c r="AM86" s="30"/>
      <c r="AN86" s="30">
        <f t="shared" si="19"/>
        <v>-5.9999999990039132E-3</v>
      </c>
      <c r="AO86" s="30"/>
      <c r="AP86" s="30"/>
      <c r="AQ86" s="30">
        <f t="shared" si="20"/>
        <v>-6.000000000003558E-3</v>
      </c>
      <c r="AR86" s="30"/>
      <c r="AS86" s="30"/>
      <c r="AT86" s="30"/>
      <c r="AU86" s="30"/>
    </row>
    <row r="87" spans="1:47" x14ac:dyDescent="0.2">
      <c r="A87" s="70" t="str">
        <f>Pricing!$A87</f>
        <v>11Y</v>
      </c>
      <c r="B87" s="208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208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208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212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28" t="str">
        <f t="shared" si="13"/>
        <v>EURYC1M_AB1E_11Y</v>
      </c>
      <c r="H87" s="129">
        <f>IF(Pricing!$B87=0,Pricing!$B87*100+0.000001,Pricing!$B87*100)</f>
        <v>1.0778627084529666</v>
      </c>
      <c r="I87" s="129">
        <f t="shared" si="12"/>
        <v>1.0778627084529666</v>
      </c>
      <c r="J87" s="59" t="str">
        <f t="shared" si="14"/>
        <v>EUR_CURVE_3M_11Y</v>
      </c>
      <c r="K87" s="129">
        <f>Pricing!$C87*100</f>
        <v>1.2026815814363372</v>
      </c>
      <c r="L87" s="129">
        <f>Pricing!$C87*100</f>
        <v>1.2026815814363372</v>
      </c>
      <c r="M87" s="59" t="str">
        <f t="shared" si="16"/>
        <v>EURAB6R11Y=</v>
      </c>
      <c r="N87" s="129">
        <f>Pricing!$D87*100</f>
        <v>1.3185480926860731</v>
      </c>
      <c r="O87" s="130">
        <f>Pricing!$D87*100</f>
        <v>1.3185480926860731</v>
      </c>
      <c r="P87" s="59" t="str">
        <f t="shared" si="17"/>
        <v>EUR_CURVE_12M_11Y</v>
      </c>
      <c r="Q87" s="129">
        <f>Pricing!$E87*100</f>
        <v>1.4561872918416314</v>
      </c>
      <c r="R87" s="130">
        <f>Pricing!$E87*100</f>
        <v>1.4561872918416314</v>
      </c>
      <c r="V87" s="129">
        <v>1.072133724</v>
      </c>
      <c r="W87" s="129">
        <v>1.072133724</v>
      </c>
      <c r="Y87" s="129">
        <v>1.1977082450000001</v>
      </c>
      <c r="Z87" s="129">
        <v>1.1977082450000001</v>
      </c>
      <c r="AB87" s="129">
        <v>1.3128073730000001</v>
      </c>
      <c r="AC87" s="129">
        <v>1.3128073730000001</v>
      </c>
      <c r="AE87" s="129">
        <v>1.450381235</v>
      </c>
      <c r="AF87" s="129">
        <v>1.450381235</v>
      </c>
      <c r="AH87" s="221">
        <f t="shared" si="15"/>
        <v>-5.7289844529666567E-3</v>
      </c>
      <c r="AI87" s="221"/>
      <c r="AJ87" s="221"/>
      <c r="AK87" s="221">
        <f t="shared" si="18"/>
        <v>-4.973336436337128E-3</v>
      </c>
      <c r="AL87" s="221"/>
      <c r="AM87" s="221"/>
      <c r="AN87" s="221">
        <f t="shared" si="19"/>
        <v>-5.740719686073037E-3</v>
      </c>
      <c r="AO87" s="221"/>
      <c r="AP87" s="221"/>
      <c r="AQ87" s="221">
        <f t="shared" si="20"/>
        <v>-5.8060568416313796E-3</v>
      </c>
      <c r="AR87" s="30"/>
      <c r="AS87" s="30"/>
      <c r="AT87" s="30"/>
      <c r="AU87" s="30"/>
    </row>
    <row r="88" spans="1:47" x14ac:dyDescent="0.2">
      <c r="A88" s="70" t="str">
        <f>Pricing!$A88</f>
        <v>12Y</v>
      </c>
      <c r="B88" s="208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208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208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212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28" t="str">
        <f t="shared" si="13"/>
        <v>EURYC1M_AB1E_12Y</v>
      </c>
      <c r="H88" s="129">
        <f>IF(Pricing!$B88=0,Pricing!$B88*100+0.000001,Pricing!$B88*100)</f>
        <v>1.1829999999942844</v>
      </c>
      <c r="I88" s="129">
        <f t="shared" si="12"/>
        <v>1.1829999999942844</v>
      </c>
      <c r="J88" s="59" t="str">
        <f t="shared" si="14"/>
        <v>EUR_CURVE_3M_12Y</v>
      </c>
      <c r="K88" s="129">
        <f>Pricing!$C88*100</f>
        <v>1.3070000000024589</v>
      </c>
      <c r="L88" s="129">
        <f>Pricing!$C88*100</f>
        <v>1.3070000000024589</v>
      </c>
      <c r="M88" s="59" t="str">
        <f t="shared" si="16"/>
        <v>EURAB6R12Y=</v>
      </c>
      <c r="N88" s="129">
        <f>Pricing!$D88*100</f>
        <v>1.4179999999960633</v>
      </c>
      <c r="O88" s="130">
        <f>Pricing!$D88*100</f>
        <v>1.4179999999960633</v>
      </c>
      <c r="P88" s="59" t="str">
        <f t="shared" si="17"/>
        <v>EUR_CURVE_12M_12Y</v>
      </c>
      <c r="Q88" s="129">
        <f>Pricing!$E88*100</f>
        <v>1.5510000000001039</v>
      </c>
      <c r="R88" s="130">
        <f>Pricing!$E88*100</f>
        <v>1.5510000000001039</v>
      </c>
      <c r="V88" s="129">
        <v>1.177</v>
      </c>
      <c r="W88" s="129">
        <v>1.177</v>
      </c>
      <c r="Y88" s="129">
        <v>1.3009999999999999</v>
      </c>
      <c r="Z88" s="129">
        <v>1.3009999999999999</v>
      </c>
      <c r="AB88" s="129">
        <v>1.4119999999999999</v>
      </c>
      <c r="AC88" s="129">
        <v>1.4119999999999999</v>
      </c>
      <c r="AE88" s="129">
        <v>1.5449999999999999</v>
      </c>
      <c r="AF88" s="129">
        <v>1.5449999999999999</v>
      </c>
      <c r="AH88" s="30">
        <f t="shared" si="15"/>
        <v>-5.9999999942843552E-3</v>
      </c>
      <c r="AI88" s="30"/>
      <c r="AJ88" s="30"/>
      <c r="AK88" s="30">
        <f t="shared" si="18"/>
        <v>-6.0000000024589273E-3</v>
      </c>
      <c r="AL88" s="30"/>
      <c r="AM88" s="30"/>
      <c r="AN88" s="30">
        <f t="shared" si="19"/>
        <v>-5.9999999960633765E-3</v>
      </c>
      <c r="AO88" s="30"/>
      <c r="AP88" s="30"/>
      <c r="AQ88" s="30">
        <f t="shared" si="20"/>
        <v>-6.0000000001039222E-3</v>
      </c>
      <c r="AR88" s="30"/>
      <c r="AS88" s="30"/>
      <c r="AT88" s="30"/>
      <c r="AU88" s="30"/>
    </row>
    <row r="89" spans="1:47" x14ac:dyDescent="0.2">
      <c r="A89" s="70" t="str">
        <f>Pricing!$A89</f>
        <v>13Y</v>
      </c>
      <c r="B89" s="208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208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208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212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28" t="str">
        <f t="shared" si="13"/>
        <v>EURYC1M_AB1E_13Y</v>
      </c>
      <c r="H89" s="129">
        <f>IF(Pricing!$B89=0,Pricing!$B89*100+0.000001,Pricing!$B89*100)</f>
        <v>1.2756758916290079</v>
      </c>
      <c r="I89" s="129">
        <f t="shared" si="12"/>
        <v>1.2756758916290079</v>
      </c>
      <c r="J89" s="59" t="str">
        <f t="shared" si="14"/>
        <v>EUR_CURVE_3M_13Y</v>
      </c>
      <c r="K89" s="129">
        <f>Pricing!$C89*100</f>
        <v>1.3977922812979942</v>
      </c>
      <c r="L89" s="129">
        <f>Pricing!$C89*100</f>
        <v>1.3977922812979942</v>
      </c>
      <c r="M89" s="59" t="str">
        <f t="shared" si="16"/>
        <v>EURAB6R13Y=</v>
      </c>
      <c r="N89" s="129">
        <f>Pricing!$D89*100</f>
        <v>1.5038595481090185</v>
      </c>
      <c r="O89" s="130">
        <f>Pricing!$D89*100</f>
        <v>1.5038595481090185</v>
      </c>
      <c r="P89" s="59" t="str">
        <f t="shared" si="17"/>
        <v>EUR_CURVE_12M_13Y</v>
      </c>
      <c r="Q89" s="129">
        <f>Pricing!$E89*100</f>
        <v>1.6319909829347889</v>
      </c>
      <c r="R89" s="130">
        <f>Pricing!$E89*100</f>
        <v>1.6319909829347889</v>
      </c>
      <c r="V89" s="129">
        <v>1.2664089599999999</v>
      </c>
      <c r="W89" s="129">
        <v>1.2664089599999999</v>
      </c>
      <c r="Y89" s="129">
        <v>1.3922216919999999</v>
      </c>
      <c r="Z89" s="129">
        <v>1.3922216919999999</v>
      </c>
      <c r="AB89" s="129">
        <v>1.49852038</v>
      </c>
      <c r="AC89" s="129">
        <v>1.49852038</v>
      </c>
      <c r="AE89" s="129">
        <v>1.6266382029999999</v>
      </c>
      <c r="AF89" s="129">
        <v>1.6266382029999999</v>
      </c>
      <c r="AH89" s="221">
        <f t="shared" si="15"/>
        <v>-9.2669316290079351E-3</v>
      </c>
      <c r="AI89" s="221"/>
      <c r="AJ89" s="221"/>
      <c r="AK89" s="221">
        <f t="shared" si="18"/>
        <v>-5.5705892979942551E-3</v>
      </c>
      <c r="AL89" s="221"/>
      <c r="AM89" s="221"/>
      <c r="AN89" s="221">
        <f t="shared" si="19"/>
        <v>-5.3391681090184662E-3</v>
      </c>
      <c r="AO89" s="221"/>
      <c r="AP89" s="221"/>
      <c r="AQ89" s="221">
        <f t="shared" si="20"/>
        <v>-5.3527799347889982E-3</v>
      </c>
      <c r="AR89" s="30"/>
      <c r="AS89" s="30"/>
      <c r="AT89" s="30"/>
      <c r="AU89" s="30"/>
    </row>
    <row r="90" spans="1:47" x14ac:dyDescent="0.2">
      <c r="A90" s="70" t="str">
        <f>Pricing!$A90</f>
        <v>14Y</v>
      </c>
      <c r="B90" s="208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208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208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212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28" t="str">
        <f t="shared" si="13"/>
        <v>EURYC1M_AB1E_14Y</v>
      </c>
      <c r="H90" s="129">
        <f>IF(Pricing!$B90=0,Pricing!$B90*100+0.000001,Pricing!$B90*100)</f>
        <v>1.3577700650069289</v>
      </c>
      <c r="I90" s="129">
        <f t="shared" si="12"/>
        <v>1.3577700650069289</v>
      </c>
      <c r="J90" s="59" t="str">
        <f t="shared" si="14"/>
        <v>EUR_CURVE_3M_14Y</v>
      </c>
      <c r="K90" s="129">
        <f>Pricing!$C90*100</f>
        <v>1.4774000859041796</v>
      </c>
      <c r="L90" s="129">
        <f>Pricing!$C90*100</f>
        <v>1.4774000859041796</v>
      </c>
      <c r="M90" s="59" t="str">
        <f t="shared" si="16"/>
        <v>EURAB6R14Y=</v>
      </c>
      <c r="N90" s="129">
        <f>Pricing!$D90*100</f>
        <v>1.5787440255498335</v>
      </c>
      <c r="O90" s="130">
        <f>Pricing!$D90*100</f>
        <v>1.5787440255498335</v>
      </c>
      <c r="P90" s="59" t="str">
        <f t="shared" si="17"/>
        <v>EUR_CURVE_12M_14Y</v>
      </c>
      <c r="Q90" s="129">
        <f>Pricing!$E90*100</f>
        <v>1.7021081943945655</v>
      </c>
      <c r="R90" s="130">
        <f>Pricing!$E90*100</f>
        <v>1.7021081943945655</v>
      </c>
      <c r="V90" s="129">
        <v>1.3480298959999999</v>
      </c>
      <c r="W90" s="129">
        <v>1.3480298959999999</v>
      </c>
      <c r="Y90" s="129">
        <v>1.471449904</v>
      </c>
      <c r="Z90" s="129">
        <v>1.471449904</v>
      </c>
      <c r="AB90" s="129">
        <v>1.572957809</v>
      </c>
      <c r="AC90" s="129">
        <v>1.572957809</v>
      </c>
      <c r="AE90" s="129">
        <v>1.696325557</v>
      </c>
      <c r="AF90" s="129">
        <v>1.696325557</v>
      </c>
      <c r="AH90" s="221">
        <f t="shared" si="15"/>
        <v>-9.7401690069289781E-3</v>
      </c>
      <c r="AI90" s="221"/>
      <c r="AJ90" s="221"/>
      <c r="AK90" s="221">
        <f t="shared" si="18"/>
        <v>-5.9501819041796189E-3</v>
      </c>
      <c r="AL90" s="221"/>
      <c r="AM90" s="221"/>
      <c r="AN90" s="221">
        <f t="shared" si="19"/>
        <v>-5.7862165498334672E-3</v>
      </c>
      <c r="AO90" s="221"/>
      <c r="AP90" s="221"/>
      <c r="AQ90" s="221">
        <f t="shared" si="20"/>
        <v>-5.7826373945655263E-3</v>
      </c>
      <c r="AR90" s="30"/>
      <c r="AS90" s="30"/>
      <c r="AT90" s="30"/>
      <c r="AU90" s="30"/>
    </row>
    <row r="91" spans="1:47" x14ac:dyDescent="0.2">
      <c r="A91" s="70" t="str">
        <f>Pricing!$A91</f>
        <v>15Y</v>
      </c>
      <c r="B91" s="208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208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208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212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28" t="str">
        <f t="shared" si="13"/>
        <v>EURYC1M_AB1E_15Y</v>
      </c>
      <c r="H91" s="129">
        <f>IF(Pricing!$B91=0,Pricing!$B91*100+0.000001,Pricing!$B91*100)</f>
        <v>1.4290000000013234</v>
      </c>
      <c r="I91" s="129">
        <f t="shared" si="12"/>
        <v>1.4290000000013234</v>
      </c>
      <c r="J91" s="59" t="str">
        <f t="shared" si="14"/>
        <v>EUR_CURVE_3M_15Y</v>
      </c>
      <c r="K91" s="129">
        <f>Pricing!$C91*100</f>
        <v>1.5459999999961369</v>
      </c>
      <c r="L91" s="129">
        <f>Pricing!$C91*100</f>
        <v>1.5459999999961369</v>
      </c>
      <c r="M91" s="59" t="str">
        <f t="shared" si="16"/>
        <v>EURAB6R15Y=</v>
      </c>
      <c r="N91" s="129">
        <f>Pricing!$D91*100</f>
        <v>1.6429999999956064</v>
      </c>
      <c r="O91" s="130">
        <f>Pricing!$D91*100</f>
        <v>1.6429999999956064</v>
      </c>
      <c r="P91" s="59" t="str">
        <f t="shared" si="17"/>
        <v>EUR_CURVE_12M_15Y</v>
      </c>
      <c r="Q91" s="129">
        <f>Pricing!$E91*100</f>
        <v>1.7620000000001104</v>
      </c>
      <c r="R91" s="130">
        <f>Pricing!$E91*100</f>
        <v>1.7620000000001104</v>
      </c>
      <c r="V91" s="129">
        <v>1.423</v>
      </c>
      <c r="W91" s="129">
        <v>1.423</v>
      </c>
      <c r="Y91" s="129">
        <v>1.54</v>
      </c>
      <c r="Z91" s="129">
        <v>1.54</v>
      </c>
      <c r="AB91" s="129">
        <v>1.637</v>
      </c>
      <c r="AC91" s="129">
        <v>1.637</v>
      </c>
      <c r="AE91" s="129">
        <v>1.756</v>
      </c>
      <c r="AF91" s="129">
        <v>1.756</v>
      </c>
      <c r="AH91" s="30">
        <f t="shared" si="15"/>
        <v>-6.0000000013233912E-3</v>
      </c>
      <c r="AI91" s="30"/>
      <c r="AJ91" s="30"/>
      <c r="AK91" s="30">
        <f t="shared" si="18"/>
        <v>-5.9999999961368733E-3</v>
      </c>
      <c r="AL91" s="30"/>
      <c r="AM91" s="30"/>
      <c r="AN91" s="30">
        <f t="shared" si="19"/>
        <v>-5.9999999956064087E-3</v>
      </c>
      <c r="AO91" s="30"/>
      <c r="AP91" s="30"/>
      <c r="AQ91" s="30">
        <f t="shared" si="20"/>
        <v>-6.0000000001103615E-3</v>
      </c>
      <c r="AR91" s="30"/>
      <c r="AS91" s="30"/>
      <c r="AT91" s="30"/>
      <c r="AU91" s="30"/>
    </row>
    <row r="92" spans="1:47" x14ac:dyDescent="0.2">
      <c r="A92" s="70" t="str">
        <f>Pricing!$A92</f>
        <v>16Y</v>
      </c>
      <c r="B92" s="208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208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208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212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28" t="str">
        <f t="shared" si="13"/>
        <v>EURYC1M_AB1E_16Y</v>
      </c>
      <c r="H92" s="129">
        <f>IF(Pricing!$B92=0,Pricing!$B92*100+0.000001,Pricing!$B92*100)</f>
        <v>1.4902651025179996</v>
      </c>
      <c r="I92" s="129">
        <f t="shared" si="12"/>
        <v>1.4902651025179996</v>
      </c>
      <c r="J92" s="59" t="str">
        <f t="shared" si="14"/>
        <v>EUR_CURVE_3M_16Y</v>
      </c>
      <c r="K92" s="129">
        <f>Pricing!$C92*100</f>
        <v>1.6048147168835034</v>
      </c>
      <c r="L92" s="129">
        <f>Pricing!$C92*100</f>
        <v>1.6048147168835034</v>
      </c>
      <c r="M92" s="59" t="str">
        <f t="shared" si="16"/>
        <v>EURAB6R16Y=</v>
      </c>
      <c r="N92" s="129">
        <f>Pricing!$D92*100</f>
        <v>1.6979662901802886</v>
      </c>
      <c r="O92" s="130">
        <f>Pricing!$D92*100</f>
        <v>1.6979662901802886</v>
      </c>
      <c r="P92" s="59" t="str">
        <f t="shared" si="17"/>
        <v>EUR_CURVE_12M_16Y</v>
      </c>
      <c r="Q92" s="129">
        <f>Pricing!$E92*100</f>
        <v>1.8132047553366237</v>
      </c>
      <c r="R92" s="130">
        <f>Pricing!$E92*100</f>
        <v>1.8132047553366237</v>
      </c>
      <c r="V92" s="129">
        <v>1.4880794989999999</v>
      </c>
      <c r="W92" s="129">
        <v>1.4880794989999999</v>
      </c>
      <c r="Y92" s="129">
        <v>1.5988001789999999</v>
      </c>
      <c r="Z92" s="129">
        <v>1.5988001789999999</v>
      </c>
      <c r="AB92" s="129">
        <v>1.691865301</v>
      </c>
      <c r="AC92" s="129">
        <v>1.691865301</v>
      </c>
      <c r="AE92" s="129">
        <v>1.8071009490000001</v>
      </c>
      <c r="AF92" s="129">
        <v>1.8071009490000001</v>
      </c>
      <c r="AH92" s="221">
        <f t="shared" si="15"/>
        <v>-2.1856035179996791E-3</v>
      </c>
      <c r="AI92" s="221"/>
      <c r="AJ92" s="221"/>
      <c r="AK92" s="221">
        <f t="shared" si="18"/>
        <v>-6.0145378835034791E-3</v>
      </c>
      <c r="AL92" s="221"/>
      <c r="AM92" s="221"/>
      <c r="AN92" s="221">
        <f t="shared" si="19"/>
        <v>-6.100989180288563E-3</v>
      </c>
      <c r="AO92" s="221"/>
      <c r="AP92" s="221"/>
      <c r="AQ92" s="221">
        <f t="shared" si="20"/>
        <v>-6.1038063366236628E-3</v>
      </c>
      <c r="AR92" s="30"/>
      <c r="AS92" s="30"/>
      <c r="AT92" s="30"/>
      <c r="AU92" s="30"/>
    </row>
    <row r="93" spans="1:47" x14ac:dyDescent="0.2">
      <c r="A93" s="70" t="str">
        <f>Pricing!$A93</f>
        <v>17Y</v>
      </c>
      <c r="B93" s="208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208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208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212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28" t="str">
        <f t="shared" si="13"/>
        <v>EURYC1M_AB1E_17Y</v>
      </c>
      <c r="H93" s="129">
        <f>IF(Pricing!$B93=0,Pricing!$B93*100+0.000001,Pricing!$B93*100)</f>
        <v>1.5430415705559364</v>
      </c>
      <c r="I93" s="129">
        <f t="shared" si="12"/>
        <v>1.5430415705559364</v>
      </c>
      <c r="J93" s="59" t="str">
        <f t="shared" si="14"/>
        <v>EUR_CURVE_3M_17Y</v>
      </c>
      <c r="K93" s="129">
        <f>Pricing!$C93*100</f>
        <v>1.6553160128792672</v>
      </c>
      <c r="L93" s="129">
        <f>Pricing!$C93*100</f>
        <v>1.6553160128792672</v>
      </c>
      <c r="M93" s="59" t="str">
        <f t="shared" si="16"/>
        <v>EURAB6R17Y=</v>
      </c>
      <c r="N93" s="129">
        <f>Pricing!$D93*100</f>
        <v>1.7450319578601954</v>
      </c>
      <c r="O93" s="130">
        <f>Pricing!$D93*100</f>
        <v>1.7450319578601954</v>
      </c>
      <c r="P93" s="59" t="str">
        <f t="shared" si="17"/>
        <v>EUR_CURVE_12M_17Y</v>
      </c>
      <c r="Q93" s="129">
        <f>Pricing!$E93*100</f>
        <v>1.8570079734195704</v>
      </c>
      <c r="R93" s="130">
        <f>Pricing!$E93*100</f>
        <v>1.8570079734195704</v>
      </c>
      <c r="V93" s="129">
        <v>1.532762473</v>
      </c>
      <c r="W93" s="129">
        <v>1.532762473</v>
      </c>
      <c r="Y93" s="129">
        <v>1.6493018260000001</v>
      </c>
      <c r="Z93" s="129">
        <v>1.6493018260000001</v>
      </c>
      <c r="AB93" s="129">
        <v>1.7389174009999999</v>
      </c>
      <c r="AC93" s="129">
        <v>1.7389174009999999</v>
      </c>
      <c r="AE93" s="129">
        <v>1.850889636</v>
      </c>
      <c r="AF93" s="129">
        <v>1.850889636</v>
      </c>
      <c r="AH93" s="221">
        <f t="shared" si="15"/>
        <v>-1.0279097555936367E-2</v>
      </c>
      <c r="AI93" s="221"/>
      <c r="AJ93" s="221"/>
      <c r="AK93" s="221">
        <f t="shared" si="18"/>
        <v>-6.014186879267136E-3</v>
      </c>
      <c r="AL93" s="221"/>
      <c r="AM93" s="221"/>
      <c r="AN93" s="221">
        <f t="shared" si="19"/>
        <v>-6.1145568601954636E-3</v>
      </c>
      <c r="AO93" s="221"/>
      <c r="AP93" s="221"/>
      <c r="AQ93" s="221">
        <f t="shared" si="20"/>
        <v>-6.1183374195703522E-3</v>
      </c>
      <c r="AR93" s="30"/>
      <c r="AS93" s="30"/>
      <c r="AT93" s="30"/>
      <c r="AU93" s="30"/>
    </row>
    <row r="94" spans="1:47" x14ac:dyDescent="0.2">
      <c r="A94" s="70" t="str">
        <f>Pricing!$A94</f>
        <v>18Y</v>
      </c>
      <c r="B94" s="208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208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208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212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28" t="str">
        <f t="shared" si="13"/>
        <v>EURYC1M_AB1E_18Y</v>
      </c>
      <c r="H94" s="129">
        <f>IF(Pricing!$B94=0,Pricing!$B94*100+0.000001,Pricing!$B94*100)</f>
        <v>1.5891308437754665</v>
      </c>
      <c r="I94" s="129">
        <f t="shared" si="12"/>
        <v>1.5891308437754665</v>
      </c>
      <c r="J94" s="59" t="str">
        <f t="shared" si="14"/>
        <v>EUR_CURVE_3M_18Y</v>
      </c>
      <c r="K94" s="129">
        <f>Pricing!$C94*100</f>
        <v>1.6992510020853975</v>
      </c>
      <c r="L94" s="129">
        <f>Pricing!$C94*100</f>
        <v>1.6992510020853975</v>
      </c>
      <c r="M94" s="59" t="str">
        <f t="shared" si="16"/>
        <v>EURAB6R18Y=</v>
      </c>
      <c r="N94" s="129">
        <f>Pricing!$D94*100</f>
        <v>1.7858395310235988</v>
      </c>
      <c r="O94" s="130">
        <f>Pricing!$D94*100</f>
        <v>1.7858395310235988</v>
      </c>
      <c r="P94" s="59" t="str">
        <f t="shared" si="17"/>
        <v>EUR_CURVE_12M_18Y</v>
      </c>
      <c r="Q94" s="129">
        <f>Pricing!$E94*100</f>
        <v>1.8949182241174156</v>
      </c>
      <c r="R94" s="130">
        <f>Pricing!$E94*100</f>
        <v>1.8949182241174156</v>
      </c>
      <c r="V94" s="129">
        <v>1.578966828</v>
      </c>
      <c r="W94" s="129">
        <v>1.578966828</v>
      </c>
      <c r="Y94" s="129">
        <v>1.6933529679999999</v>
      </c>
      <c r="Z94" s="129">
        <v>1.6933529679999999</v>
      </c>
      <c r="AB94" s="129">
        <v>1.7798589490000001</v>
      </c>
      <c r="AC94" s="129">
        <v>1.7798589490000001</v>
      </c>
      <c r="AE94" s="129">
        <v>1.888926892</v>
      </c>
      <c r="AF94" s="129">
        <v>1.888926892</v>
      </c>
      <c r="AH94" s="221">
        <f t="shared" si="15"/>
        <v>-1.0164015775466551E-2</v>
      </c>
      <c r="AI94" s="221"/>
      <c r="AJ94" s="221"/>
      <c r="AK94" s="221">
        <f t="shared" si="18"/>
        <v>-5.8980340853975743E-3</v>
      </c>
      <c r="AL94" s="221"/>
      <c r="AM94" s="221"/>
      <c r="AN94" s="221">
        <f t="shared" si="19"/>
        <v>-5.9805820235987461E-3</v>
      </c>
      <c r="AO94" s="221"/>
      <c r="AP94" s="221"/>
      <c r="AQ94" s="221">
        <f t="shared" si="20"/>
        <v>-5.9913321174156486E-3</v>
      </c>
      <c r="AR94" s="30"/>
      <c r="AS94" s="30"/>
      <c r="AT94" s="30"/>
      <c r="AU94" s="30"/>
    </row>
    <row r="95" spans="1:47" x14ac:dyDescent="0.2">
      <c r="A95" s="70" t="str">
        <f>Pricing!$A95</f>
        <v>19Y</v>
      </c>
      <c r="B95" s="208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208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208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212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28" t="str">
        <f t="shared" si="13"/>
        <v>EURYC1M_AB1E_19Y</v>
      </c>
      <c r="H95" s="129">
        <f>IF(Pricing!$B95=0,Pricing!$B95*100+0.000001,Pricing!$B95*100)</f>
        <v>1.6286019825154343</v>
      </c>
      <c r="I95" s="129">
        <f t="shared" si="12"/>
        <v>1.6286019825154343</v>
      </c>
      <c r="J95" s="59" t="str">
        <f t="shared" si="14"/>
        <v>EUR_CURVE_3M_19Y</v>
      </c>
      <c r="K95" s="129">
        <f>Pricing!$C95*100</f>
        <v>1.7366448890307469</v>
      </c>
      <c r="L95" s="129">
        <f>Pricing!$C95*100</f>
        <v>1.7366448890307469</v>
      </c>
      <c r="M95" s="59" t="str">
        <f t="shared" si="16"/>
        <v>EURAB6R19Y=</v>
      </c>
      <c r="N95" s="129">
        <f>Pricing!$D95*100</f>
        <v>1.8203554827358464</v>
      </c>
      <c r="O95" s="130">
        <f>Pricing!$D95*100</f>
        <v>1.8203554827358464</v>
      </c>
      <c r="P95" s="59" t="str">
        <f t="shared" si="17"/>
        <v>EUR_CURVE_12M_19Y</v>
      </c>
      <c r="Q95" s="129">
        <f>Pricing!$E95*100</f>
        <v>1.9268076104661931</v>
      </c>
      <c r="R95" s="130">
        <f>Pricing!$E95*100</f>
        <v>1.9268076104661931</v>
      </c>
      <c r="V95" s="129">
        <v>1.6185160080000001</v>
      </c>
      <c r="W95" s="129">
        <v>1.6185160080000001</v>
      </c>
      <c r="Y95" s="129">
        <v>1.7307381740000001</v>
      </c>
      <c r="Z95" s="129">
        <v>1.7307381740000001</v>
      </c>
      <c r="AB95" s="129">
        <v>1.8144066640000001</v>
      </c>
      <c r="AC95" s="129">
        <v>1.8144066640000001</v>
      </c>
      <c r="AE95" s="129">
        <v>1.9208499960000001</v>
      </c>
      <c r="AF95" s="129">
        <v>1.9208499960000001</v>
      </c>
      <c r="AH95" s="221">
        <f t="shared" si="15"/>
        <v>-1.0085974515434248E-2</v>
      </c>
      <c r="AI95" s="221"/>
      <c r="AJ95" s="221"/>
      <c r="AK95" s="221">
        <f t="shared" si="18"/>
        <v>-5.9067150307468008E-3</v>
      </c>
      <c r="AL95" s="221"/>
      <c r="AM95" s="221"/>
      <c r="AN95" s="221">
        <f t="shared" si="19"/>
        <v>-5.9488187358462952E-3</v>
      </c>
      <c r="AO95" s="221"/>
      <c r="AP95" s="221"/>
      <c r="AQ95" s="221">
        <f t="shared" si="20"/>
        <v>-5.9576144661930286E-3</v>
      </c>
      <c r="AR95" s="30"/>
      <c r="AS95" s="30"/>
      <c r="AT95" s="30"/>
      <c r="AU95" s="30"/>
    </row>
    <row r="96" spans="1:47" x14ac:dyDescent="0.2">
      <c r="A96" s="70" t="str">
        <f>Pricing!$A96</f>
        <v>20Y</v>
      </c>
      <c r="B96" s="208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208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208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212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28" t="str">
        <f t="shared" si="13"/>
        <v>EURYC1M_AB1E_20Y</v>
      </c>
      <c r="H96" s="129">
        <f>IF(Pricing!$B96=0,Pricing!$B96*100+0.000001,Pricing!$B96*100)</f>
        <v>1.6630000000024716</v>
      </c>
      <c r="I96" s="129">
        <f t="shared" si="12"/>
        <v>1.6630000000024716</v>
      </c>
      <c r="J96" s="59" t="str">
        <f t="shared" si="14"/>
        <v>EUR_CURVE_3M_20Y</v>
      </c>
      <c r="K96" s="129">
        <f>Pricing!$C96*100</f>
        <v>1.7689999999961479</v>
      </c>
      <c r="L96" s="129">
        <f>Pricing!$C96*100</f>
        <v>1.7689999999961479</v>
      </c>
      <c r="M96" s="59" t="str">
        <f t="shared" si="16"/>
        <v>EURAB6R20Y=</v>
      </c>
      <c r="N96" s="129">
        <f>Pricing!$D96*100</f>
        <v>1.8499999999880945</v>
      </c>
      <c r="O96" s="130">
        <f>Pricing!$D96*100</f>
        <v>1.8499999999880945</v>
      </c>
      <c r="P96" s="59" t="str">
        <f t="shared" si="17"/>
        <v>EUR_CURVE_12M_20Y</v>
      </c>
      <c r="Q96" s="129">
        <f>Pricing!$E96*100</f>
        <v>1.9540000000003457</v>
      </c>
      <c r="R96" s="130">
        <f>Pricing!$E96*100</f>
        <v>1.9540000000003457</v>
      </c>
      <c r="V96" s="129">
        <v>1.657</v>
      </c>
      <c r="W96" s="129">
        <v>1.657</v>
      </c>
      <c r="Y96" s="129">
        <v>1.7629999999999999</v>
      </c>
      <c r="Z96" s="129">
        <v>1.7629999999999999</v>
      </c>
      <c r="AB96" s="129">
        <v>1.8440000000000001</v>
      </c>
      <c r="AC96" s="129">
        <v>1.8440000000000001</v>
      </c>
      <c r="AE96" s="129">
        <v>1.948</v>
      </c>
      <c r="AF96" s="129">
        <v>1.948</v>
      </c>
      <c r="AH96" s="30">
        <f t="shared" si="15"/>
        <v>-6.0000000024715838E-3</v>
      </c>
      <c r="AI96" s="30"/>
      <c r="AJ96" s="30"/>
      <c r="AK96" s="30">
        <f t="shared" si="18"/>
        <v>-5.9999999961479755E-3</v>
      </c>
      <c r="AL96" s="30"/>
      <c r="AM96" s="30"/>
      <c r="AN96" s="30">
        <f t="shared" si="19"/>
        <v>-5.9999999880944177E-3</v>
      </c>
      <c r="AO96" s="30"/>
      <c r="AP96" s="30"/>
      <c r="AQ96" s="30">
        <f t="shared" si="20"/>
        <v>-6.0000000003457288E-3</v>
      </c>
      <c r="AR96" s="30"/>
      <c r="AS96" s="30"/>
      <c r="AT96" s="30"/>
      <c r="AU96" s="30"/>
    </row>
    <row r="97" spans="1:47" x14ac:dyDescent="0.2">
      <c r="A97" s="70" t="str">
        <f>Pricing!$A97</f>
        <v>21Y</v>
      </c>
      <c r="B97" s="208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208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208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212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28" t="str">
        <f t="shared" si="13"/>
        <v>EURYC1M_AB1E_21Y</v>
      </c>
      <c r="H97" s="129">
        <f>IF(Pricing!$B97=0,Pricing!$B97*100+0.000001,Pricing!$B97*100)</f>
        <v>1.6929237433392055</v>
      </c>
      <c r="I97" s="129">
        <f t="shared" si="12"/>
        <v>1.6929237433392055</v>
      </c>
      <c r="J97" s="59" t="str">
        <f t="shared" si="14"/>
        <v>EUR_CURVE_3M_21Y</v>
      </c>
      <c r="K97" s="129">
        <f>Pricing!$C97*100</f>
        <v>1.7968976549477707</v>
      </c>
      <c r="L97" s="129">
        <f>Pricing!$C97*100</f>
        <v>1.7968976549477707</v>
      </c>
      <c r="M97" s="59" t="str">
        <f t="shared" si="16"/>
        <v>EURAB6R21Y=</v>
      </c>
      <c r="N97" s="129">
        <f>Pricing!$D97*100</f>
        <v>1.8753271703845391</v>
      </c>
      <c r="O97" s="130">
        <f>Pricing!$D97*100</f>
        <v>1.8753271703845391</v>
      </c>
      <c r="P97" s="59" t="str">
        <f t="shared" si="17"/>
        <v>EUR_CURVE_12M_21Y</v>
      </c>
      <c r="Q97" s="129">
        <f>Pricing!$E97*100</f>
        <v>1.9769965173534854</v>
      </c>
      <c r="R97" s="130">
        <f>Pricing!$E97*100</f>
        <v>1.9769965173534854</v>
      </c>
      <c r="V97" s="129">
        <v>1.691191237</v>
      </c>
      <c r="W97" s="129">
        <v>1.691191237</v>
      </c>
      <c r="Y97" s="129">
        <v>1.7908925229999999</v>
      </c>
      <c r="Z97" s="129">
        <v>1.7908925229999999</v>
      </c>
      <c r="AB97" s="129">
        <v>1.8693392980000001</v>
      </c>
      <c r="AC97" s="129">
        <v>1.8693392980000001</v>
      </c>
      <c r="AE97" s="129">
        <v>1.9710108900000001</v>
      </c>
      <c r="AF97" s="129">
        <v>1.9710108900000001</v>
      </c>
      <c r="AH97" s="221">
        <f t="shared" si="15"/>
        <v>-1.7325063392055196E-3</v>
      </c>
      <c r="AI97" s="221"/>
      <c r="AJ97" s="221"/>
      <c r="AK97" s="221">
        <f t="shared" si="18"/>
        <v>-6.0051319477707477E-3</v>
      </c>
      <c r="AL97" s="221"/>
      <c r="AM97" s="221"/>
      <c r="AN97" s="221">
        <f t="shared" si="19"/>
        <v>-5.9878723845390169E-3</v>
      </c>
      <c r="AO97" s="221"/>
      <c r="AP97" s="221"/>
      <c r="AQ97" s="221">
        <f t="shared" si="20"/>
        <v>-5.98562735348529E-3</v>
      </c>
      <c r="AR97" s="30"/>
      <c r="AS97" s="30"/>
      <c r="AT97" s="30"/>
      <c r="AU97" s="30"/>
    </row>
    <row r="98" spans="1:47" x14ac:dyDescent="0.2">
      <c r="A98" s="70" t="str">
        <f>Pricing!$A98</f>
        <v>22Y</v>
      </c>
      <c r="B98" s="208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208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208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212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28" t="str">
        <f t="shared" si="13"/>
        <v>EURYC1M_AB1E_22Y</v>
      </c>
      <c r="H98" s="129">
        <f>IF(Pricing!$B98=0,Pricing!$B98*100+0.000001,Pricing!$B98*100)</f>
        <v>1.7192797289130444</v>
      </c>
      <c r="I98" s="129">
        <f t="shared" si="12"/>
        <v>1.7192797289130444</v>
      </c>
      <c r="J98" s="59" t="str">
        <f t="shared" si="14"/>
        <v>EUR_CURVE_3M_22Y</v>
      </c>
      <c r="K98" s="129">
        <f>Pricing!$C98*100</f>
        <v>1.8212448038316187</v>
      </c>
      <c r="L98" s="129">
        <f>Pricing!$C98*100</f>
        <v>1.8212448038316187</v>
      </c>
      <c r="M98" s="59" t="str">
        <f t="shared" si="16"/>
        <v>EURAB6R22Y=</v>
      </c>
      <c r="N98" s="129">
        <f>Pricing!$D98*100</f>
        <v>1.8972654620679337</v>
      </c>
      <c r="O98" s="130">
        <f>Pricing!$D98*100</f>
        <v>1.8972654620679337</v>
      </c>
      <c r="P98" s="59" t="str">
        <f t="shared" si="17"/>
        <v>EUR_CURVE_12M_22Y</v>
      </c>
      <c r="Q98" s="129">
        <f>Pricing!$E98*100</f>
        <v>1.9966952756291307</v>
      </c>
      <c r="R98" s="130">
        <f>Pricing!$E98*100</f>
        <v>1.9966952756291307</v>
      </c>
      <c r="V98" s="129">
        <v>1.717833347</v>
      </c>
      <c r="W98" s="129">
        <v>1.717833347</v>
      </c>
      <c r="Y98" s="129">
        <v>1.8152299009999999</v>
      </c>
      <c r="Z98" s="129">
        <v>1.8152299009999999</v>
      </c>
      <c r="AB98" s="129">
        <v>1.891271387</v>
      </c>
      <c r="AC98" s="129">
        <v>1.891271387</v>
      </c>
      <c r="AE98" s="129">
        <v>1.990705516</v>
      </c>
      <c r="AF98" s="129">
        <v>1.990705516</v>
      </c>
      <c r="AH98" s="221">
        <f t="shared" si="15"/>
        <v>-1.4463819130443589E-3</v>
      </c>
      <c r="AI98" s="221"/>
      <c r="AJ98" s="221"/>
      <c r="AK98" s="221">
        <f t="shared" si="18"/>
        <v>-6.0149028316187625E-3</v>
      </c>
      <c r="AL98" s="221"/>
      <c r="AM98" s="221"/>
      <c r="AN98" s="221">
        <f t="shared" si="19"/>
        <v>-5.9940750679337018E-3</v>
      </c>
      <c r="AO98" s="221"/>
      <c r="AP98" s="221"/>
      <c r="AQ98" s="221">
        <f t="shared" si="20"/>
        <v>-5.9897596291307309E-3</v>
      </c>
      <c r="AR98" s="30"/>
      <c r="AS98" s="30"/>
      <c r="AT98" s="30"/>
      <c r="AU98" s="30"/>
    </row>
    <row r="99" spans="1:47" x14ac:dyDescent="0.2">
      <c r="A99" s="70" t="str">
        <f>Pricing!$A99</f>
        <v>23Y</v>
      </c>
      <c r="B99" s="208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208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208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212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28" t="str">
        <f t="shared" si="13"/>
        <v>EURYC1M_AB1E_23Y</v>
      </c>
      <c r="H99" s="129">
        <f>IF(Pricing!$B99=0,Pricing!$B99*100+0.000001,Pricing!$B99*100)</f>
        <v>1.7422694409003756</v>
      </c>
      <c r="I99" s="129">
        <f t="shared" si="12"/>
        <v>1.7422694409003756</v>
      </c>
      <c r="J99" s="59" t="str">
        <f t="shared" si="14"/>
        <v>EUR_CURVE_3M_23Y</v>
      </c>
      <c r="K99" s="129">
        <f>Pricing!$C99*100</f>
        <v>1.8422224185711538</v>
      </c>
      <c r="L99" s="129">
        <f>Pricing!$C99*100</f>
        <v>1.8422224185711538</v>
      </c>
      <c r="M99" s="59" t="str">
        <f t="shared" si="16"/>
        <v>EURAB6R23Y=</v>
      </c>
      <c r="N99" s="129">
        <f>Pricing!$D99*100</f>
        <v>1.9160093853654834</v>
      </c>
      <c r="O99" s="130">
        <f>Pricing!$D99*100</f>
        <v>1.9160093853654834</v>
      </c>
      <c r="P99" s="59" t="str">
        <f t="shared" si="17"/>
        <v>EUR_CURVE_12M_23Y</v>
      </c>
      <c r="Q99" s="129">
        <f>Pricing!$E99*100</f>
        <v>2.0132466485938147</v>
      </c>
      <c r="R99" s="130">
        <f>Pricing!$E99*100</f>
        <v>2.0132466485938147</v>
      </c>
      <c r="V99" s="129">
        <v>1.7329480690000001</v>
      </c>
      <c r="W99" s="129">
        <v>1.7329480690000001</v>
      </c>
      <c r="Y99" s="129">
        <v>1.8360914260000001</v>
      </c>
      <c r="Z99" s="129">
        <v>1.8360914260000001</v>
      </c>
      <c r="AB99" s="129">
        <v>1.909906734</v>
      </c>
      <c r="AC99" s="129">
        <v>1.909906734</v>
      </c>
      <c r="AE99" s="129">
        <v>2.0071614690000001</v>
      </c>
      <c r="AF99" s="129">
        <v>2.0071614690000001</v>
      </c>
      <c r="AH99" s="221">
        <f t="shared" si="15"/>
        <v>-9.3213719003755191E-3</v>
      </c>
      <c r="AI99" s="221"/>
      <c r="AJ99" s="221"/>
      <c r="AK99" s="221">
        <f t="shared" si="18"/>
        <v>-6.1309925711536817E-3</v>
      </c>
      <c r="AL99" s="221"/>
      <c r="AM99" s="221"/>
      <c r="AN99" s="221">
        <f t="shared" si="19"/>
        <v>-6.1026513654833803E-3</v>
      </c>
      <c r="AO99" s="221"/>
      <c r="AP99" s="221"/>
      <c r="AQ99" s="221">
        <f t="shared" si="20"/>
        <v>-6.0851795938146047E-3</v>
      </c>
      <c r="AR99" s="30"/>
      <c r="AS99" s="30"/>
      <c r="AT99" s="30"/>
      <c r="AU99" s="30"/>
    </row>
    <row r="100" spans="1:47" x14ac:dyDescent="0.2">
      <c r="A100" s="70" t="str">
        <f>Pricing!$A100</f>
        <v>24Y</v>
      </c>
      <c r="B100" s="208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208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208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212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28" t="str">
        <f t="shared" si="13"/>
        <v>EURYC1M_AB1E_24Y</v>
      </c>
      <c r="H100" s="129">
        <f>IF(Pricing!$B100=0,Pricing!$B100*100+0.000001,Pricing!$B100*100)</f>
        <v>1.7623138094091531</v>
      </c>
      <c r="I100" s="129">
        <f t="shared" si="12"/>
        <v>1.7623138094091531</v>
      </c>
      <c r="J100" s="59" t="str">
        <f t="shared" si="14"/>
        <v>EUR_CURVE_3M_24Y</v>
      </c>
      <c r="K100" s="129">
        <f>Pricing!$C100*100</f>
        <v>1.8602839400151985</v>
      </c>
      <c r="L100" s="129">
        <f>Pricing!$C100*100</f>
        <v>1.8602839400151985</v>
      </c>
      <c r="M100" s="59" t="str">
        <f t="shared" si="16"/>
        <v>EURAB6R24Y=</v>
      </c>
      <c r="N100" s="129">
        <f>Pricing!$D100*100</f>
        <v>1.9320647516439213</v>
      </c>
      <c r="O100" s="130">
        <f>Pricing!$D100*100</f>
        <v>1.9320647516439213</v>
      </c>
      <c r="P100" s="59" t="str">
        <f t="shared" si="17"/>
        <v>EUR_CURVE_12M_24Y</v>
      </c>
      <c r="Q100" s="129">
        <f>Pricing!$E100*100</f>
        <v>2.0271701327498999</v>
      </c>
      <c r="R100" s="130">
        <f>Pricing!$E100*100</f>
        <v>2.0271701327498999</v>
      </c>
      <c r="V100" s="129">
        <v>1.7573081960000001</v>
      </c>
      <c r="W100" s="129">
        <v>1.7573081960000001</v>
      </c>
      <c r="Y100" s="129">
        <v>1.8542954949999999</v>
      </c>
      <c r="Z100" s="129">
        <v>1.8542954949999999</v>
      </c>
      <c r="AB100" s="129">
        <v>1.9260810450000001</v>
      </c>
      <c r="AC100" s="129">
        <v>1.9260810450000001</v>
      </c>
      <c r="AE100" s="129">
        <v>2.0211869820000001</v>
      </c>
      <c r="AF100" s="129">
        <v>2.0211869820000001</v>
      </c>
      <c r="AH100" s="221">
        <f t="shared" si="15"/>
        <v>-5.0056134091529536E-3</v>
      </c>
      <c r="AI100" s="221"/>
      <c r="AJ100" s="221"/>
      <c r="AK100" s="221">
        <f t="shared" si="18"/>
        <v>-5.9884450151985735E-3</v>
      </c>
      <c r="AL100" s="221"/>
      <c r="AM100" s="221"/>
      <c r="AN100" s="221">
        <f t="shared" si="19"/>
        <v>-5.9837066439212272E-3</v>
      </c>
      <c r="AO100" s="221"/>
      <c r="AP100" s="221"/>
      <c r="AQ100" s="221">
        <f t="shared" si="20"/>
        <v>-5.983150749899746E-3</v>
      </c>
      <c r="AR100" s="30"/>
      <c r="AS100" s="30"/>
      <c r="AT100" s="30"/>
      <c r="AU100" s="30"/>
    </row>
    <row r="101" spans="1:47" x14ac:dyDescent="0.2">
      <c r="A101" s="70" t="str">
        <f>Pricing!$A101</f>
        <v>25Y</v>
      </c>
      <c r="B101" s="208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208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208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212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28" t="str">
        <f t="shared" si="13"/>
        <v>EURYC1M_AB1E_25Y</v>
      </c>
      <c r="H101" s="129">
        <f>IF(Pricing!$B101=0,Pricing!$B101*100+0.000001,Pricing!$B101*100)</f>
        <v>1.7799999999996601</v>
      </c>
      <c r="I101" s="129">
        <f t="shared" si="12"/>
        <v>1.7799999999996601</v>
      </c>
      <c r="J101" s="59" t="str">
        <f t="shared" si="14"/>
        <v>EUR_CURVE_3M_25Y</v>
      </c>
      <c r="K101" s="129">
        <f>Pricing!$C101*100</f>
        <v>1.8759999999902039</v>
      </c>
      <c r="L101" s="129">
        <f>Pricing!$C101*100</f>
        <v>1.8759999999902039</v>
      </c>
      <c r="M101" s="59" t="str">
        <f t="shared" si="16"/>
        <v>EURAB6R25Y=</v>
      </c>
      <c r="N101" s="129">
        <f>Pricing!$D101*100</f>
        <v>1.9459999999930189</v>
      </c>
      <c r="O101" s="130">
        <f>Pricing!$D101*100</f>
        <v>1.9459999999930189</v>
      </c>
      <c r="P101" s="59" t="str">
        <f t="shared" si="17"/>
        <v>EUR_CURVE_12M_25Y</v>
      </c>
      <c r="Q101" s="129">
        <f>Pricing!$E101*100</f>
        <v>2.0390000000001884</v>
      </c>
      <c r="R101" s="130">
        <f>Pricing!$E101*100</f>
        <v>2.0390000000001884</v>
      </c>
      <c r="V101" s="129">
        <v>1.7749999999999999</v>
      </c>
      <c r="W101" s="129">
        <v>1.7749999999999999</v>
      </c>
      <c r="Y101" s="129">
        <v>1.87</v>
      </c>
      <c r="Z101" s="129">
        <v>1.87</v>
      </c>
      <c r="AB101" s="129">
        <v>1.94</v>
      </c>
      <c r="AC101" s="129">
        <v>1.94</v>
      </c>
      <c r="AE101" s="129">
        <v>2.0329999999999999</v>
      </c>
      <c r="AF101" s="129">
        <v>2.0329999999999999</v>
      </c>
      <c r="AH101" s="30">
        <f t="shared" si="15"/>
        <v>-4.9999999996601652E-3</v>
      </c>
      <c r="AI101" s="30"/>
      <c r="AJ101" s="30"/>
      <c r="AK101" s="30">
        <f t="shared" si="18"/>
        <v>-5.9999999902038414E-3</v>
      </c>
      <c r="AL101" s="30"/>
      <c r="AM101" s="30"/>
      <c r="AN101" s="30">
        <f t="shared" si="19"/>
        <v>-5.999999993018923E-3</v>
      </c>
      <c r="AO101" s="30"/>
      <c r="AP101" s="30"/>
      <c r="AQ101" s="30">
        <f t="shared" si="20"/>
        <v>-6.0000000001885212E-3</v>
      </c>
      <c r="AR101" s="30"/>
      <c r="AS101" s="30"/>
      <c r="AT101" s="30"/>
      <c r="AU101" s="30"/>
    </row>
    <row r="102" spans="1:47" x14ac:dyDescent="0.2">
      <c r="A102" s="70" t="str">
        <f>Pricing!$A102</f>
        <v>26Y</v>
      </c>
      <c r="B102" s="208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208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208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212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28" t="str">
        <f t="shared" si="13"/>
        <v>EURYC1M_AB1E_26Y</v>
      </c>
      <c r="H102" s="129">
        <f>IF(Pricing!$B102=0,Pricing!$B102*100+0.000001,Pricing!$B102*100)</f>
        <v>1.795911916258508</v>
      </c>
      <c r="I102" s="129">
        <f t="shared" si="12"/>
        <v>1.795911916258508</v>
      </c>
      <c r="J102" s="59" t="str">
        <f t="shared" si="14"/>
        <v>EUR_CURVE_3M_26Y</v>
      </c>
      <c r="K102" s="129">
        <f>Pricing!$C102*100</f>
        <v>1.8899577128389313</v>
      </c>
      <c r="L102" s="129">
        <f>Pricing!$C102*100</f>
        <v>1.8899577128389313</v>
      </c>
      <c r="M102" s="59" t="str">
        <f t="shared" si="16"/>
        <v>EURAB6R26Y=</v>
      </c>
      <c r="N102" s="129">
        <f>Pricing!$D102*100</f>
        <v>1.9583859347658477</v>
      </c>
      <c r="O102" s="130">
        <f>Pricing!$D102*100</f>
        <v>1.9583859347658477</v>
      </c>
      <c r="P102" s="59" t="str">
        <f t="shared" si="17"/>
        <v>EUR_CURVE_12M_26Y</v>
      </c>
      <c r="Q102" s="129">
        <f>Pricing!$E102*100</f>
        <v>2.0493137931308611</v>
      </c>
      <c r="R102" s="130">
        <f>Pricing!$E102*100</f>
        <v>2.0493137931308611</v>
      </c>
      <c r="V102" s="129">
        <v>1.7907280640000001</v>
      </c>
      <c r="W102" s="129">
        <v>1.7907280640000001</v>
      </c>
      <c r="Y102" s="129">
        <v>1.8839159729999999</v>
      </c>
      <c r="Z102" s="129">
        <v>1.8839159729999999</v>
      </c>
      <c r="AB102" s="129">
        <v>1.9523473870000001</v>
      </c>
      <c r="AC102" s="129">
        <v>1.9523473870000001</v>
      </c>
      <c r="AE102" s="129">
        <v>2.0432790710000002</v>
      </c>
      <c r="AF102" s="129">
        <v>2.0432790710000002</v>
      </c>
      <c r="AH102" s="30">
        <f t="shared" si="15"/>
        <v>-5.1838522585079261E-3</v>
      </c>
      <c r="AI102" s="30"/>
      <c r="AJ102" s="30"/>
      <c r="AK102" s="30">
        <f t="shared" si="18"/>
        <v>-6.0417398389314148E-3</v>
      </c>
      <c r="AL102" s="30"/>
      <c r="AM102" s="30"/>
      <c r="AN102" s="30">
        <f t="shared" si="19"/>
        <v>-6.0385477658475573E-3</v>
      </c>
      <c r="AO102" s="30"/>
      <c r="AP102" s="30"/>
      <c r="AQ102" s="30">
        <f t="shared" si="20"/>
        <v>-6.0347221308609811E-3</v>
      </c>
      <c r="AR102" s="30"/>
      <c r="AS102" s="30"/>
      <c r="AT102" s="30"/>
      <c r="AU102" s="30"/>
    </row>
    <row r="103" spans="1:47" x14ac:dyDescent="0.2">
      <c r="A103" s="70" t="str">
        <f>Pricing!$A103</f>
        <v>27Y</v>
      </c>
      <c r="B103" s="208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208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208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212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28" t="str">
        <f t="shared" ref="G103:G136" si="21">G$4&amp;"_AB1E"&amp;IF(UPPER(Start)="1W","1WFWD_","_")&amp;$A103</f>
        <v>EURYC1M_AB1E_27Y</v>
      </c>
      <c r="H103" s="129">
        <f>IF(Pricing!$B103=0,Pricing!$B103*100+0.000001,Pricing!$B103*100)</f>
        <v>1.8100662609222284</v>
      </c>
      <c r="I103" s="129">
        <f t="shared" si="12"/>
        <v>1.8100662609222284</v>
      </c>
      <c r="J103" s="59" t="str">
        <f t="shared" ref="J103:J136" si="22">Currency&amp;"_CURVE_"&amp;J$3&amp;"M_"&amp;$A103</f>
        <v>EUR_CURVE_3M_27Y</v>
      </c>
      <c r="K103" s="129">
        <f>Pricing!$C103*100</f>
        <v>1.9022047752937425</v>
      </c>
      <c r="L103" s="129">
        <f>Pricing!$C103*100</f>
        <v>1.9022047752937425</v>
      </c>
      <c r="M103" s="59" t="str">
        <f t="shared" si="16"/>
        <v>EURAB6R27Y=</v>
      </c>
      <c r="N103" s="129">
        <f>Pricing!$D103*100</f>
        <v>1.9691576628076135</v>
      </c>
      <c r="O103" s="130">
        <f>Pricing!$D103*100</f>
        <v>1.9691576628076135</v>
      </c>
      <c r="P103" s="59" t="str">
        <f t="shared" si="17"/>
        <v>EUR_CURVE_12M_27Y</v>
      </c>
      <c r="Q103" s="129">
        <f>Pricing!$E103*100</f>
        <v>2.0581502849423261</v>
      </c>
      <c r="R103" s="130">
        <f>Pricing!$E103*100</f>
        <v>2.0581502849423261</v>
      </c>
      <c r="V103" s="129">
        <v>1.8046530220000001</v>
      </c>
      <c r="W103" s="129">
        <v>1.8046530220000001</v>
      </c>
      <c r="Y103" s="129">
        <v>1.8961644959999999</v>
      </c>
      <c r="Z103" s="129">
        <v>1.8961644959999999</v>
      </c>
      <c r="AB103" s="129">
        <v>1.963121938</v>
      </c>
      <c r="AC103" s="129">
        <v>1.963121938</v>
      </c>
      <c r="AE103" s="129">
        <v>2.0521160219999999</v>
      </c>
      <c r="AF103" s="129">
        <v>2.0521160219999999</v>
      </c>
      <c r="AH103" s="30">
        <f t="shared" si="15"/>
        <v>-5.4132389222283361E-3</v>
      </c>
      <c r="AI103" s="30"/>
      <c r="AJ103" s="30"/>
      <c r="AK103" s="30">
        <f t="shared" si="18"/>
        <v>-6.0402792937426231E-3</v>
      </c>
      <c r="AL103" s="30"/>
      <c r="AM103" s="30"/>
      <c r="AN103" s="30">
        <f t="shared" si="19"/>
        <v>-6.0357248076134962E-3</v>
      </c>
      <c r="AO103" s="30"/>
      <c r="AP103" s="30"/>
      <c r="AQ103" s="30">
        <f t="shared" si="20"/>
        <v>-6.0342629423262295E-3</v>
      </c>
      <c r="AR103" s="30"/>
      <c r="AS103" s="30"/>
      <c r="AT103" s="30"/>
      <c r="AU103" s="30"/>
    </row>
    <row r="104" spans="1:47" x14ac:dyDescent="0.2">
      <c r="A104" s="70" t="str">
        <f>Pricing!$A104</f>
        <v>28Y</v>
      </c>
      <c r="B104" s="208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208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208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212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28" t="str">
        <f t="shared" si="21"/>
        <v>EURYC1M_AB1E_28Y</v>
      </c>
      <c r="H104" s="129">
        <f>IF(Pricing!$B104=0,Pricing!$B104*100+0.000001,Pricing!$B104*100)</f>
        <v>1.8230561495102569</v>
      </c>
      <c r="I104" s="129">
        <f t="shared" si="12"/>
        <v>1.8230561495102569</v>
      </c>
      <c r="J104" s="59" t="str">
        <f t="shared" si="22"/>
        <v>EUR_CURVE_3M_28Y</v>
      </c>
      <c r="K104" s="129">
        <f>Pricing!$C104*100</f>
        <v>1.913367733693732</v>
      </c>
      <c r="L104" s="129">
        <f>Pricing!$C104*100</f>
        <v>1.913367733693732</v>
      </c>
      <c r="M104" s="59" t="str">
        <f t="shared" si="16"/>
        <v>EURAB6R28Y=</v>
      </c>
      <c r="N104" s="129">
        <f>Pricing!$D104*100</f>
        <v>1.9788222635307149</v>
      </c>
      <c r="O104" s="130">
        <f>Pricing!$D104*100</f>
        <v>1.9788222635307149</v>
      </c>
      <c r="P104" s="59" t="str">
        <f t="shared" si="17"/>
        <v>EUR_CURVE_12M_28Y</v>
      </c>
      <c r="Q104" s="129">
        <f>Pricing!$E104*100</f>
        <v>2.0661246426176101</v>
      </c>
      <c r="R104" s="130">
        <f>Pricing!$E104*100</f>
        <v>2.0661246426176101</v>
      </c>
      <c r="V104" s="129">
        <v>1.817389326</v>
      </c>
      <c r="W104" s="129">
        <v>1.817389326</v>
      </c>
      <c r="Y104" s="129">
        <v>1.907330934</v>
      </c>
      <c r="Z104" s="129">
        <v>1.907330934</v>
      </c>
      <c r="AB104" s="129">
        <v>1.9727919949999999</v>
      </c>
      <c r="AC104" s="129">
        <v>1.9727919949999999</v>
      </c>
      <c r="AE104" s="129">
        <v>2.0600941270000002</v>
      </c>
      <c r="AF104" s="129">
        <v>2.0600941270000002</v>
      </c>
      <c r="AH104" s="30">
        <f t="shared" si="15"/>
        <v>-5.6668235102568243E-3</v>
      </c>
      <c r="AI104" s="30"/>
      <c r="AJ104" s="30"/>
      <c r="AK104" s="30">
        <f t="shared" si="18"/>
        <v>-6.0367996937320534E-3</v>
      </c>
      <c r="AL104" s="30"/>
      <c r="AM104" s="30"/>
      <c r="AN104" s="30">
        <f t="shared" si="19"/>
        <v>-6.0302685307149773E-3</v>
      </c>
      <c r="AO104" s="30"/>
      <c r="AP104" s="30"/>
      <c r="AQ104" s="30">
        <f t="shared" si="20"/>
        <v>-6.0305156176099217E-3</v>
      </c>
      <c r="AR104" s="30"/>
      <c r="AS104" s="30"/>
      <c r="AT104" s="30"/>
      <c r="AU104" s="30"/>
    </row>
    <row r="105" spans="1:47" x14ac:dyDescent="0.2">
      <c r="A105" s="70" t="str">
        <f>Pricing!$A105</f>
        <v>29Y</v>
      </c>
      <c r="B105" s="208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208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208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212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28" t="str">
        <f t="shared" si="21"/>
        <v>EURYC1M_AB1E_29Y</v>
      </c>
      <c r="H105" s="129">
        <f>IF(Pricing!$B105=0,Pricing!$B105*100+0.000001,Pricing!$B105*100)</f>
        <v>1.8352853084933916</v>
      </c>
      <c r="I105" s="129">
        <f t="shared" si="12"/>
        <v>1.8352853084933916</v>
      </c>
      <c r="J105" s="59" t="str">
        <f t="shared" si="22"/>
        <v>EUR_CURVE_3M_29Y</v>
      </c>
      <c r="K105" s="129">
        <f>Pricing!$C105*100</f>
        <v>1.923867180377788</v>
      </c>
      <c r="L105" s="129">
        <f>Pricing!$C105*100</f>
        <v>1.923867180377788</v>
      </c>
      <c r="M105" s="59" t="str">
        <f t="shared" si="16"/>
        <v>EURAB6R29Y=</v>
      </c>
      <c r="N105" s="129">
        <f>Pricing!$D105*100</f>
        <v>1.9876899666902876</v>
      </c>
      <c r="O105" s="130">
        <f>Pricing!$D105*100</f>
        <v>1.9876899666902876</v>
      </c>
      <c r="P105" s="59" t="str">
        <f t="shared" si="17"/>
        <v>EUR_CURVE_12M_29Y</v>
      </c>
      <c r="Q105" s="129">
        <f>Pricing!$E105*100</f>
        <v>2.0736293598888422</v>
      </c>
      <c r="R105" s="130">
        <f>Pricing!$E105*100</f>
        <v>2.0736293598888422</v>
      </c>
      <c r="V105" s="129">
        <v>1.8293326480000001</v>
      </c>
      <c r="W105" s="129">
        <v>1.8293326480000001</v>
      </c>
      <c r="Y105" s="129">
        <v>1.9177798939999999</v>
      </c>
      <c r="Z105" s="129">
        <v>1.9177798939999999</v>
      </c>
      <c r="AB105" s="129">
        <v>1.981619405</v>
      </c>
      <c r="AC105" s="129">
        <v>1.981619405</v>
      </c>
      <c r="AE105" s="129">
        <v>2.0675647399999999</v>
      </c>
      <c r="AF105" s="129">
        <v>2.0675647399999999</v>
      </c>
      <c r="AH105" s="30">
        <f t="shared" si="15"/>
        <v>-5.9526604933914928E-3</v>
      </c>
      <c r="AI105" s="30"/>
      <c r="AJ105" s="30"/>
      <c r="AK105" s="30">
        <f t="shared" si="18"/>
        <v>-6.0872863777881037E-3</v>
      </c>
      <c r="AL105" s="30"/>
      <c r="AM105" s="30"/>
      <c r="AN105" s="30">
        <f t="shared" si="19"/>
        <v>-6.0705616902876347E-3</v>
      </c>
      <c r="AO105" s="30"/>
      <c r="AP105" s="30"/>
      <c r="AQ105" s="30">
        <f t="shared" si="20"/>
        <v>-6.0646198888423264E-3</v>
      </c>
      <c r="AR105" s="30"/>
      <c r="AS105" s="30"/>
      <c r="AT105" s="30"/>
      <c r="AU105" s="30"/>
    </row>
    <row r="106" spans="1:47" x14ac:dyDescent="0.2">
      <c r="A106" s="70" t="str">
        <f>Pricing!$A106</f>
        <v>30Y</v>
      </c>
      <c r="B106" s="208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208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208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212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28" t="str">
        <f t="shared" si="21"/>
        <v>EURYC1M_AB1E_30Y</v>
      </c>
      <c r="H106" s="129">
        <f>IF(Pricing!$B106=0,Pricing!$B106*100+0.000001,Pricing!$B106*100)</f>
        <v>1.8470000000006388</v>
      </c>
      <c r="I106" s="129">
        <f t="shared" si="12"/>
        <v>1.8470000000006388</v>
      </c>
      <c r="J106" s="59" t="str">
        <f t="shared" si="22"/>
        <v>EUR_CURVE_3M_30Y</v>
      </c>
      <c r="K106" s="129">
        <f>Pricing!$C106*100</f>
        <v>1.9340000000000701</v>
      </c>
      <c r="L106" s="129">
        <f>Pricing!$C106*100</f>
        <v>1.9340000000000701</v>
      </c>
      <c r="M106" s="59" t="str">
        <f t="shared" si="16"/>
        <v>EURAB6R30Y=</v>
      </c>
      <c r="N106" s="129">
        <f>Pricing!$D106*100</f>
        <v>1.9959999999943605</v>
      </c>
      <c r="O106" s="130">
        <f>Pricing!$D106*100</f>
        <v>1.9959999999943605</v>
      </c>
      <c r="P106" s="59" t="str">
        <f t="shared" si="17"/>
        <v>EUR_CURVE_12M_30Y</v>
      </c>
      <c r="Q106" s="129">
        <f>Pricing!$E106*100</f>
        <v>2.0810000000000368</v>
      </c>
      <c r="R106" s="130">
        <f>Pricing!$E106*100</f>
        <v>2.0810000000000368</v>
      </c>
      <c r="V106" s="129">
        <v>1.841</v>
      </c>
      <c r="W106" s="129">
        <v>1.841</v>
      </c>
      <c r="Y106" s="129">
        <v>1.9279999999999999</v>
      </c>
      <c r="Z106" s="129">
        <v>1.9279999999999999</v>
      </c>
      <c r="AB106" s="129">
        <v>1.99</v>
      </c>
      <c r="AC106" s="129">
        <v>1.99</v>
      </c>
      <c r="AE106" s="129">
        <v>2.0750000000000002</v>
      </c>
      <c r="AF106" s="129">
        <v>2.0750000000000002</v>
      </c>
      <c r="AH106" s="30">
        <f t="shared" si="15"/>
        <v>-6.0000000006388277E-3</v>
      </c>
      <c r="AI106" s="30"/>
      <c r="AJ106" s="30"/>
      <c r="AK106" s="30">
        <f t="shared" si="18"/>
        <v>-6.0000000000701714E-3</v>
      </c>
      <c r="AL106" s="30"/>
      <c r="AM106" s="30"/>
      <c r="AN106" s="30">
        <f t="shared" si="19"/>
        <v>-5.9999999943605165E-3</v>
      </c>
      <c r="AO106" s="30"/>
      <c r="AP106" s="30"/>
      <c r="AQ106" s="30">
        <f t="shared" si="20"/>
        <v>-6.0000000000366427E-3</v>
      </c>
      <c r="AR106" s="30"/>
      <c r="AS106" s="30"/>
      <c r="AT106" s="30"/>
      <c r="AU106" s="30"/>
    </row>
    <row r="107" spans="1:47" x14ac:dyDescent="0.2">
      <c r="A107" s="70" t="str">
        <f>Pricing!$A107</f>
        <v>31Y</v>
      </c>
      <c r="B107" s="208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208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208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212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28" t="str">
        <f t="shared" si="21"/>
        <v>EURYC1M_AB1E_31Y</v>
      </c>
      <c r="H107" s="129">
        <f>IF(Pricing!$B107=0,Pricing!$B107*100+0.000001,Pricing!$B107*100)</f>
        <v>1.8582798233420965</v>
      </c>
      <c r="I107" s="129">
        <f t="shared" si="12"/>
        <v>1.8582798233420965</v>
      </c>
      <c r="J107" s="59" t="str">
        <f t="shared" si="22"/>
        <v>EUR_CURVE_3M_31Y</v>
      </c>
      <c r="K107" s="129">
        <f>Pricing!$C107*100</f>
        <v>1.9438271250170587</v>
      </c>
      <c r="L107" s="129">
        <f>Pricing!$C107*100</f>
        <v>1.9438271250170587</v>
      </c>
      <c r="M107" s="59" t="str">
        <f t="shared" si="16"/>
        <v>EURAB6R31Y=</v>
      </c>
      <c r="N107" s="129">
        <f>Pricing!$D107*100</f>
        <v>2.0037665797154234</v>
      </c>
      <c r="O107" s="130">
        <f>Pricing!$D107*100</f>
        <v>2.0037665797154234</v>
      </c>
      <c r="P107" s="59" t="str">
        <f t="shared" si="17"/>
        <v>EUR_CURVE_12M_31Y</v>
      </c>
      <c r="Q107" s="129">
        <f>Pricing!$E107*100</f>
        <v>2.0882345710722481</v>
      </c>
      <c r="R107" s="130">
        <f>Pricing!$E107*100</f>
        <v>2.0882345710722481</v>
      </c>
      <c r="V107" s="129">
        <v>1.852216045</v>
      </c>
      <c r="W107" s="129">
        <v>1.852216045</v>
      </c>
      <c r="Y107" s="129">
        <v>1.9378062709999999</v>
      </c>
      <c r="Z107" s="129">
        <v>1.9378062709999999</v>
      </c>
      <c r="AB107" s="129">
        <v>1.9977453730000001</v>
      </c>
      <c r="AC107" s="129">
        <v>1.9977453730000001</v>
      </c>
      <c r="AE107" s="129">
        <v>2.0822205949999999</v>
      </c>
      <c r="AF107" s="129">
        <v>2.0822205949999999</v>
      </c>
      <c r="AH107" s="30">
        <f t="shared" si="15"/>
        <v>-6.0637783420964819E-3</v>
      </c>
      <c r="AI107" s="30"/>
      <c r="AJ107" s="30"/>
      <c r="AK107" s="30">
        <f t="shared" si="18"/>
        <v>-6.0208540170587632E-3</v>
      </c>
      <c r="AL107" s="30"/>
      <c r="AM107" s="30"/>
      <c r="AN107" s="30">
        <f t="shared" si="19"/>
        <v>-6.0212067154232773E-3</v>
      </c>
      <c r="AO107" s="30"/>
      <c r="AP107" s="30"/>
      <c r="AQ107" s="30">
        <f t="shared" si="20"/>
        <v>-6.0139760722481839E-3</v>
      </c>
      <c r="AR107" s="30"/>
      <c r="AS107" s="30"/>
      <c r="AT107" s="30"/>
      <c r="AU107" s="30"/>
    </row>
    <row r="108" spans="1:47" x14ac:dyDescent="0.2">
      <c r="A108" s="70" t="str">
        <f>Pricing!$A108</f>
        <v>32Y</v>
      </c>
      <c r="B108" s="208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208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208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212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28" t="str">
        <f t="shared" si="21"/>
        <v>EURYC1M_AB1E_32Y</v>
      </c>
      <c r="H108" s="129">
        <f>IF(Pricing!$B108=0,Pricing!$B108*100+0.000001,Pricing!$B108*100)</f>
        <v>1.8691869529172078</v>
      </c>
      <c r="I108" s="129">
        <f t="shared" si="12"/>
        <v>1.8691869529172078</v>
      </c>
      <c r="J108" s="59" t="str">
        <f t="shared" si="22"/>
        <v>EUR_CURVE_3M_32Y</v>
      </c>
      <c r="K108" s="129">
        <f>Pricing!$C108*100</f>
        <v>1.9534047499506355</v>
      </c>
      <c r="L108" s="129">
        <f>Pricing!$C108*100</f>
        <v>1.9534047499506355</v>
      </c>
      <c r="M108" s="59" t="str">
        <f t="shared" si="16"/>
        <v>EURAB6R32Y=</v>
      </c>
      <c r="N108" s="129">
        <f>Pricing!$D108*100</f>
        <v>2.0112332904257766</v>
      </c>
      <c r="O108" s="130">
        <f>Pricing!$D108*100</f>
        <v>2.0112332904257766</v>
      </c>
      <c r="P108" s="59" t="str">
        <f t="shared" si="17"/>
        <v>EUR_CURVE_12M_32Y</v>
      </c>
      <c r="Q108" s="129">
        <f>Pricing!$E108*100</f>
        <v>2.0953896941696604</v>
      </c>
      <c r="R108" s="130">
        <f>Pricing!$E108*100</f>
        <v>2.0953896941696604</v>
      </c>
      <c r="V108" s="129">
        <v>1.8631799280000001</v>
      </c>
      <c r="W108" s="129">
        <v>1.8631799280000001</v>
      </c>
      <c r="Y108" s="129">
        <v>1.947390725</v>
      </c>
      <c r="Z108" s="129">
        <v>1.947390725</v>
      </c>
      <c r="AB108" s="129">
        <v>2.0052107530000001</v>
      </c>
      <c r="AC108" s="129">
        <v>2.0052107530000001</v>
      </c>
      <c r="AE108" s="129">
        <v>2.0893813890000001</v>
      </c>
      <c r="AF108" s="129">
        <v>2.0893813890000001</v>
      </c>
      <c r="AH108" s="30">
        <f t="shared" si="15"/>
        <v>-6.0070249172077261E-3</v>
      </c>
      <c r="AI108" s="30"/>
      <c r="AJ108" s="30"/>
      <c r="AK108" s="30">
        <f t="shared" si="18"/>
        <v>-6.0140249506355214E-3</v>
      </c>
      <c r="AL108" s="30"/>
      <c r="AM108" s="30"/>
      <c r="AN108" s="30">
        <f t="shared" si="19"/>
        <v>-6.0225374257765196E-3</v>
      </c>
      <c r="AO108" s="30"/>
      <c r="AP108" s="30"/>
      <c r="AQ108" s="30">
        <f t="shared" si="20"/>
        <v>-6.0083051696602219E-3</v>
      </c>
      <c r="AR108" s="30"/>
      <c r="AS108" s="30"/>
      <c r="AT108" s="30"/>
      <c r="AU108" s="30"/>
    </row>
    <row r="109" spans="1:47" x14ac:dyDescent="0.2">
      <c r="A109" s="70" t="str">
        <f>Pricing!$A109</f>
        <v>33Y</v>
      </c>
      <c r="B109" s="208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208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208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212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28" t="str">
        <f t="shared" si="21"/>
        <v>EURYC1M_AB1E_33Y</v>
      </c>
      <c r="H109" s="129">
        <f>IF(Pricing!$B109=0,Pricing!$B109*100+0.000001,Pricing!$B109*100)</f>
        <v>1.8796519591263845</v>
      </c>
      <c r="I109" s="129">
        <f t="shared" si="12"/>
        <v>1.8796519591263845</v>
      </c>
      <c r="J109" s="59" t="str">
        <f t="shared" si="22"/>
        <v>EUR_CURVE_3M_33Y</v>
      </c>
      <c r="K109" s="129">
        <f>Pricing!$C109*100</f>
        <v>1.962642745538981</v>
      </c>
      <c r="L109" s="129">
        <f>Pricing!$C109*100</f>
        <v>1.962642745538981</v>
      </c>
      <c r="M109" s="59" t="str">
        <f t="shared" si="16"/>
        <v>EURAB6R33Y=</v>
      </c>
      <c r="N109" s="129">
        <f>Pricing!$D109*100</f>
        <v>2.0185091529169474</v>
      </c>
      <c r="O109" s="130">
        <f>Pricing!$D109*100</f>
        <v>2.0185091529169474</v>
      </c>
      <c r="P109" s="59" t="str">
        <f t="shared" si="17"/>
        <v>EUR_CURVE_12M_33Y</v>
      </c>
      <c r="Q109" s="129">
        <f>Pricing!$E109*100</f>
        <v>2.1023579552560774</v>
      </c>
      <c r="R109" s="130">
        <f>Pricing!$E109*100</f>
        <v>2.1023579552560774</v>
      </c>
      <c r="V109" s="129">
        <v>1.8737638029999999</v>
      </c>
      <c r="W109" s="129">
        <v>1.8737638029999999</v>
      </c>
      <c r="Y109" s="129">
        <v>1.9566359520000001</v>
      </c>
      <c r="Z109" s="129">
        <v>1.9566359520000001</v>
      </c>
      <c r="AB109" s="129">
        <v>2.012485479</v>
      </c>
      <c r="AC109" s="129">
        <v>2.012485479</v>
      </c>
      <c r="AE109" s="129">
        <v>2.096355226</v>
      </c>
      <c r="AF109" s="129">
        <v>2.096355226</v>
      </c>
      <c r="AH109" s="30">
        <f t="shared" si="15"/>
        <v>-5.8881561263846027E-3</v>
      </c>
      <c r="AI109" s="30"/>
      <c r="AJ109" s="30"/>
      <c r="AK109" s="30">
        <f t="shared" si="18"/>
        <v>-6.0067935389809257E-3</v>
      </c>
      <c r="AL109" s="30"/>
      <c r="AM109" s="30"/>
      <c r="AN109" s="30">
        <f t="shared" si="19"/>
        <v>-6.0236739169474696E-3</v>
      </c>
      <c r="AO109" s="30"/>
      <c r="AP109" s="30"/>
      <c r="AQ109" s="30">
        <f t="shared" si="20"/>
        <v>-6.002729256077366E-3</v>
      </c>
      <c r="AR109" s="30"/>
      <c r="AS109" s="30"/>
      <c r="AT109" s="30"/>
      <c r="AU109" s="30"/>
    </row>
    <row r="110" spans="1:47" x14ac:dyDescent="0.2">
      <c r="A110" s="70" t="str">
        <f>Pricing!$A110</f>
        <v>34Y</v>
      </c>
      <c r="B110" s="208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208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208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212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28" t="str">
        <f t="shared" si="21"/>
        <v>EURYC1M_AB1E_34Y</v>
      </c>
      <c r="H110" s="129">
        <f>IF(Pricing!$B110=0,Pricing!$B110*100+0.000001,Pricing!$B110*100)</f>
        <v>1.8897995674822885</v>
      </c>
      <c r="I110" s="129">
        <f t="shared" si="12"/>
        <v>1.8897995674822885</v>
      </c>
      <c r="J110" s="59" t="str">
        <f t="shared" si="22"/>
        <v>EUR_CURVE_3M_34Y</v>
      </c>
      <c r="K110" s="129">
        <f>Pricing!$C110*100</f>
        <v>1.9716431392331808</v>
      </c>
      <c r="L110" s="129">
        <f>Pricing!$C110*100</f>
        <v>1.9716431392331808</v>
      </c>
      <c r="M110" s="59" t="str">
        <f t="shared" si="16"/>
        <v>EURAB6R34Y=</v>
      </c>
      <c r="N110" s="129">
        <f>Pricing!$D110*100</f>
        <v>2.0258573706941525</v>
      </c>
      <c r="O110" s="130">
        <f>Pricing!$D110*100</f>
        <v>2.0258573706941525</v>
      </c>
      <c r="P110" s="59" t="str">
        <f t="shared" si="17"/>
        <v>EUR_CURVE_12M_34Y</v>
      </c>
      <c r="Q110" s="129">
        <f>Pricing!$E110*100</f>
        <v>2.1092166437127342</v>
      </c>
      <c r="R110" s="130">
        <f>Pricing!$E110*100</f>
        <v>2.1092166437127342</v>
      </c>
      <c r="V110" s="129">
        <v>1.8840161129999999</v>
      </c>
      <c r="W110" s="129">
        <v>1.8840161129999999</v>
      </c>
      <c r="Y110" s="129">
        <v>1.9655968269999999</v>
      </c>
      <c r="Z110" s="129">
        <v>1.9655968269999999</v>
      </c>
      <c r="AB110" s="129">
        <v>2.0197953709999998</v>
      </c>
      <c r="AC110" s="129">
        <v>2.0197953709999998</v>
      </c>
      <c r="AE110" s="129">
        <v>2.103183724</v>
      </c>
      <c r="AF110" s="129">
        <v>2.103183724</v>
      </c>
      <c r="AH110" s="30">
        <f t="shared" si="15"/>
        <v>-5.7834544822885636E-3</v>
      </c>
      <c r="AI110" s="30"/>
      <c r="AJ110" s="30"/>
      <c r="AK110" s="30">
        <f t="shared" si="18"/>
        <v>-6.0463122331808616E-3</v>
      </c>
      <c r="AL110" s="30"/>
      <c r="AM110" s="30"/>
      <c r="AN110" s="30">
        <f t="shared" si="19"/>
        <v>-6.0619996941526644E-3</v>
      </c>
      <c r="AO110" s="30"/>
      <c r="AP110" s="30"/>
      <c r="AQ110" s="30">
        <f t="shared" si="20"/>
        <v>-6.0329197127342304E-3</v>
      </c>
      <c r="AR110" s="30"/>
      <c r="AS110" s="30"/>
      <c r="AT110" s="30"/>
      <c r="AU110" s="30"/>
    </row>
    <row r="111" spans="1:47" x14ac:dyDescent="0.2">
      <c r="A111" s="70" t="str">
        <f>Pricing!$A111</f>
        <v>35Y</v>
      </c>
      <c r="B111" s="208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208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208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212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28" t="str">
        <f t="shared" si="21"/>
        <v>EURYC1M_AB1E_35Y</v>
      </c>
      <c r="H111" s="129">
        <f>IF(Pricing!$B111=0,Pricing!$B111*100+0.000001,Pricing!$B111*100)</f>
        <v>1.8991858080738115</v>
      </c>
      <c r="I111" s="129">
        <f t="shared" si="12"/>
        <v>1.8991858080738115</v>
      </c>
      <c r="J111" s="59" t="str">
        <f t="shared" si="22"/>
        <v>EUR_CURVE_3M_35Y</v>
      </c>
      <c r="K111" s="129">
        <f>Pricing!$C111*100</f>
        <v>1.9799586086692678</v>
      </c>
      <c r="L111" s="129">
        <f>Pricing!$C111*100</f>
        <v>1.9799586086692678</v>
      </c>
      <c r="M111" s="59" t="str">
        <f t="shared" ref="M111:M136" si="23">Currency&amp;"AB"&amp;M$3&amp;"R"&amp;A111&amp;"="</f>
        <v>EURAB6R35Y=</v>
      </c>
      <c r="N111" s="129">
        <f>Pricing!$D111*100</f>
        <v>2.0329999999956962</v>
      </c>
      <c r="O111" s="130">
        <f>Pricing!$D111*100</f>
        <v>2.0329999999956962</v>
      </c>
      <c r="P111" s="59" t="str">
        <f t="shared" ref="P111:P136" si="24">Currency&amp;"_CURVE_"&amp;P$3&amp;"M_"&amp;$A111</f>
        <v>EUR_CURVE_12M_35Y</v>
      </c>
      <c r="Q111" s="129">
        <f>Pricing!$E111*100</f>
        <v>2.1155296527531666</v>
      </c>
      <c r="R111" s="130">
        <f>Pricing!$E111*100</f>
        <v>2.1155296527531666</v>
      </c>
      <c r="V111" s="129">
        <v>1.8936555580000001</v>
      </c>
      <c r="W111" s="129">
        <v>1.8936555580000001</v>
      </c>
      <c r="Y111" s="129">
        <v>1.9739878870000001</v>
      </c>
      <c r="Z111" s="129">
        <v>1.9739878870000001</v>
      </c>
      <c r="AB111" s="129">
        <v>2.0270000000000001</v>
      </c>
      <c r="AC111" s="129">
        <v>2.0270000000000001</v>
      </c>
      <c r="AE111" s="129">
        <v>2.109553564</v>
      </c>
      <c r="AF111" s="129">
        <v>2.109553564</v>
      </c>
      <c r="AH111" s="30">
        <f t="shared" si="15"/>
        <v>-5.5302500738114713E-3</v>
      </c>
      <c r="AI111" s="30"/>
      <c r="AJ111" s="30"/>
      <c r="AK111" s="30">
        <f t="shared" si="18"/>
        <v>-5.970721669267709E-3</v>
      </c>
      <c r="AL111" s="30"/>
      <c r="AM111" s="30"/>
      <c r="AN111" s="30">
        <f t="shared" si="19"/>
        <v>-5.9999999956961148E-3</v>
      </c>
      <c r="AO111" s="30"/>
      <c r="AP111" s="30"/>
      <c r="AQ111" s="30">
        <f t="shared" si="20"/>
        <v>-5.9760887531665752E-3</v>
      </c>
      <c r="AR111" s="30"/>
      <c r="AS111" s="30"/>
      <c r="AT111" s="30"/>
      <c r="AU111" s="30"/>
    </row>
    <row r="112" spans="1:47" x14ac:dyDescent="0.2">
      <c r="A112" s="70" t="str">
        <f>Pricing!$A112</f>
        <v>36Y</v>
      </c>
      <c r="B112" s="208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208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208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212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28" t="str">
        <f t="shared" si="21"/>
        <v>EURYC1M_AB1E_36Y</v>
      </c>
      <c r="H112" s="129">
        <f>IF(Pricing!$B112=0,Pricing!$B112*100+0.000001,Pricing!$B112*100)</f>
        <v>1.907987805562001</v>
      </c>
      <c r="I112" s="129">
        <f t="shared" si="12"/>
        <v>1.907987805562001</v>
      </c>
      <c r="J112" s="59" t="str">
        <f t="shared" si="22"/>
        <v>EUR_CURVE_3M_36Y</v>
      </c>
      <c r="K112" s="129">
        <f>Pricing!$C112*100</f>
        <v>1.9877442067195599</v>
      </c>
      <c r="L112" s="129">
        <f>Pricing!$C112*100</f>
        <v>1.9877442067195599</v>
      </c>
      <c r="M112" s="59" t="str">
        <f t="shared" si="23"/>
        <v>EURAB6R36Y=</v>
      </c>
      <c r="N112" s="129">
        <f>Pricing!$D112*100</f>
        <v>2.0401442409281683</v>
      </c>
      <c r="O112" s="130">
        <f>Pricing!$D112*100</f>
        <v>2.0401442409281683</v>
      </c>
      <c r="P112" s="59" t="str">
        <f t="shared" si="24"/>
        <v>EUR_CURVE_12M_36Y</v>
      </c>
      <c r="Q112" s="129">
        <f>Pricing!$E112*100</f>
        <v>2.1214237643330081</v>
      </c>
      <c r="R112" s="130">
        <f>Pricing!$E112*100</f>
        <v>2.1214237643330081</v>
      </c>
      <c r="V112" s="129">
        <v>1.902629752</v>
      </c>
      <c r="W112" s="129">
        <v>1.902629752</v>
      </c>
      <c r="Y112" s="129">
        <v>1.9817782960000001</v>
      </c>
      <c r="Z112" s="129">
        <v>1.9817782960000001</v>
      </c>
      <c r="AB112" s="129">
        <v>2.0341518550000002</v>
      </c>
      <c r="AC112" s="129">
        <v>2.0341518550000002</v>
      </c>
      <c r="AE112" s="129">
        <v>2.1154506500000001</v>
      </c>
      <c r="AF112" s="129">
        <v>2.1154506500000001</v>
      </c>
      <c r="AH112" s="30">
        <f t="shared" si="15"/>
        <v>-5.3580535620010306E-3</v>
      </c>
      <c r="AI112" s="30"/>
      <c r="AJ112" s="30"/>
      <c r="AK112" s="30">
        <f t="shared" si="18"/>
        <v>-5.9659107195597638E-3</v>
      </c>
      <c r="AL112" s="30"/>
      <c r="AM112" s="30"/>
      <c r="AN112" s="30">
        <f t="shared" si="19"/>
        <v>-5.9923859281680869E-3</v>
      </c>
      <c r="AO112" s="30"/>
      <c r="AP112" s="30"/>
      <c r="AQ112" s="30">
        <f t="shared" si="20"/>
        <v>-5.9731143330079561E-3</v>
      </c>
      <c r="AR112" s="30"/>
      <c r="AS112" s="30"/>
      <c r="AT112" s="30"/>
      <c r="AU112" s="30"/>
    </row>
    <row r="113" spans="1:47" x14ac:dyDescent="0.2">
      <c r="A113" s="70" t="str">
        <f>Pricing!$A113</f>
        <v>37Y</v>
      </c>
      <c r="B113" s="208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208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208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212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28" t="str">
        <f t="shared" si="21"/>
        <v>EURYC1M_AB1E_37Y</v>
      </c>
      <c r="H113" s="129">
        <f>IF(Pricing!$B113=0,Pricing!$B113*100+0.000001,Pricing!$B113*100)</f>
        <v>1.916195091453277</v>
      </c>
      <c r="I113" s="129">
        <f t="shared" si="12"/>
        <v>1.916195091453277</v>
      </c>
      <c r="J113" s="59" t="str">
        <f t="shared" si="22"/>
        <v>EUR_CURVE_3M_37Y</v>
      </c>
      <c r="K113" s="129">
        <f>Pricing!$C113*100</f>
        <v>1.9949747702417018</v>
      </c>
      <c r="L113" s="129">
        <f>Pricing!$C113*100</f>
        <v>1.9949747702417018</v>
      </c>
      <c r="M113" s="59" t="str">
        <f t="shared" si="23"/>
        <v>EURAB6R37Y=</v>
      </c>
      <c r="N113" s="129">
        <f>Pricing!$D113*100</f>
        <v>2.0471172226535903</v>
      </c>
      <c r="O113" s="130">
        <f>Pricing!$D113*100</f>
        <v>2.0471172226535903</v>
      </c>
      <c r="P113" s="59" t="str">
        <f t="shared" si="24"/>
        <v>EUR_CURVE_12M_37Y</v>
      </c>
      <c r="Q113" s="129">
        <f>Pricing!$E113*100</f>
        <v>2.1268582401417877</v>
      </c>
      <c r="R113" s="130">
        <f>Pricing!$E113*100</f>
        <v>2.1268582401417877</v>
      </c>
      <c r="V113" s="129">
        <v>1.9109719199999999</v>
      </c>
      <c r="W113" s="129">
        <v>1.9109719199999999</v>
      </c>
      <c r="Y113" s="129">
        <v>1.9889938330000001</v>
      </c>
      <c r="Z113" s="129">
        <v>1.9889938330000001</v>
      </c>
      <c r="AB113" s="129">
        <v>2.0411160439999998</v>
      </c>
      <c r="AC113" s="129">
        <v>2.0411160439999998</v>
      </c>
      <c r="AE113" s="129">
        <v>2.1208731429999998</v>
      </c>
      <c r="AF113" s="129">
        <v>2.1208731429999998</v>
      </c>
      <c r="AH113" s="30">
        <f t="shared" si="15"/>
        <v>-5.223171453277109E-3</v>
      </c>
      <c r="AI113" s="30"/>
      <c r="AJ113" s="30"/>
      <c r="AK113" s="30">
        <f t="shared" si="18"/>
        <v>-5.9809372417016782E-3</v>
      </c>
      <c r="AL113" s="30"/>
      <c r="AM113" s="30"/>
      <c r="AN113" s="30">
        <f t="shared" si="19"/>
        <v>-6.0011786535905109E-3</v>
      </c>
      <c r="AO113" s="30"/>
      <c r="AP113" s="30"/>
      <c r="AQ113" s="30">
        <f t="shared" si="20"/>
        <v>-5.985097141787854E-3</v>
      </c>
      <c r="AR113" s="30"/>
      <c r="AS113" s="30"/>
      <c r="AT113" s="30"/>
      <c r="AU113" s="30"/>
    </row>
    <row r="114" spans="1:47" x14ac:dyDescent="0.2">
      <c r="A114" s="70" t="str">
        <f>Pricing!$A114</f>
        <v>38Y</v>
      </c>
      <c r="B114" s="208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208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208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212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28" t="str">
        <f t="shared" si="21"/>
        <v>EURYC1M_AB1E_38Y</v>
      </c>
      <c r="H114" s="129">
        <f>IF(Pricing!$B114=0,Pricing!$B114*100+0.000001,Pricing!$B114*100)</f>
        <v>1.9238657425613026</v>
      </c>
      <c r="I114" s="129">
        <f t="shared" si="12"/>
        <v>1.9238657425613026</v>
      </c>
      <c r="J114" s="59" t="str">
        <f t="shared" si="22"/>
        <v>EUR_CURVE_3M_38Y</v>
      </c>
      <c r="K114" s="129">
        <f>Pricing!$C114*100</f>
        <v>2.0017015994937761</v>
      </c>
      <c r="L114" s="129">
        <f>Pricing!$C114*100</f>
        <v>2.0017015994937761</v>
      </c>
      <c r="M114" s="59" t="str">
        <f t="shared" si="23"/>
        <v>EURAB6R38Y=</v>
      </c>
      <c r="N114" s="129">
        <f>Pricing!$D114*100</f>
        <v>2.0537951819858522</v>
      </c>
      <c r="O114" s="130">
        <f>Pricing!$D114*100</f>
        <v>2.0537951819858522</v>
      </c>
      <c r="P114" s="59" t="str">
        <f t="shared" si="24"/>
        <v>EUR_CURVE_12M_38Y</v>
      </c>
      <c r="Q114" s="129">
        <f>Pricing!$E114*100</f>
        <v>2.1318814401273887</v>
      </c>
      <c r="R114" s="130">
        <f>Pricing!$E114*100</f>
        <v>2.1318814401273887</v>
      </c>
      <c r="V114" s="129">
        <v>1.9187720049999999</v>
      </c>
      <c r="W114" s="129">
        <v>1.9187720049999999</v>
      </c>
      <c r="Y114" s="129">
        <v>1.9957247229999999</v>
      </c>
      <c r="Z114" s="129">
        <v>1.9957247229999999</v>
      </c>
      <c r="AB114" s="129">
        <v>2.0478049380000001</v>
      </c>
      <c r="AC114" s="129">
        <v>2.0478049380000001</v>
      </c>
      <c r="AE114" s="129">
        <v>2.1258986489999998</v>
      </c>
      <c r="AF114" s="129">
        <v>2.1258986489999998</v>
      </c>
      <c r="AH114" s="30">
        <f t="shared" si="15"/>
        <v>-5.0937375613027136E-3</v>
      </c>
      <c r="AI114" s="30"/>
      <c r="AJ114" s="30"/>
      <c r="AK114" s="30">
        <f t="shared" si="18"/>
        <v>-5.9768764937762064E-3</v>
      </c>
      <c r="AL114" s="30"/>
      <c r="AM114" s="30"/>
      <c r="AN114" s="30">
        <f t="shared" si="19"/>
        <v>-5.9902439858521284E-3</v>
      </c>
      <c r="AO114" s="30"/>
      <c r="AP114" s="30"/>
      <c r="AQ114" s="30">
        <f t="shared" si="20"/>
        <v>-5.9827911273888645E-3</v>
      </c>
      <c r="AR114" s="30"/>
      <c r="AS114" s="30"/>
      <c r="AT114" s="30"/>
      <c r="AU114" s="30"/>
    </row>
    <row r="115" spans="1:47" x14ac:dyDescent="0.2">
      <c r="A115" s="70" t="str">
        <f>Pricing!$A115</f>
        <v>39Y</v>
      </c>
      <c r="B115" s="208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208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208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212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28" t="str">
        <f t="shared" si="21"/>
        <v>EURYC1M_AB1E_39Y</v>
      </c>
      <c r="H115" s="129">
        <f>IF(Pricing!$B115=0,Pricing!$B115*100+0.000001,Pricing!$B115*100)</f>
        <v>1.9307582997010231</v>
      </c>
      <c r="I115" s="129">
        <f t="shared" si="12"/>
        <v>1.9307582997010231</v>
      </c>
      <c r="J115" s="59" t="str">
        <f t="shared" si="22"/>
        <v>EUR_CURVE_3M_39Y</v>
      </c>
      <c r="K115" s="129">
        <f>Pricing!$C115*100</f>
        <v>2.0076716608337217</v>
      </c>
      <c r="L115" s="129">
        <f>Pricing!$C115*100</f>
        <v>2.0076716608337217</v>
      </c>
      <c r="M115" s="59" t="str">
        <f t="shared" si="23"/>
        <v>EURAB6R39Y=</v>
      </c>
      <c r="N115" s="129">
        <f>Pricing!$D115*100</f>
        <v>2.0597630754344927</v>
      </c>
      <c r="O115" s="130">
        <f>Pricing!$D115*100</f>
        <v>2.0597630754344927</v>
      </c>
      <c r="P115" s="59" t="str">
        <f t="shared" si="24"/>
        <v>EUR_CURVE_12M_39Y</v>
      </c>
      <c r="Q115" s="129">
        <f>Pricing!$E115*100</f>
        <v>2.1362285974254114</v>
      </c>
      <c r="R115" s="130">
        <f>Pricing!$E115*100</f>
        <v>2.1362285974254114</v>
      </c>
      <c r="V115" s="129">
        <v>1.9257527780000001</v>
      </c>
      <c r="W115" s="129">
        <v>1.9257527780000001</v>
      </c>
      <c r="Y115" s="129">
        <v>2.0016974689999998</v>
      </c>
      <c r="Z115" s="129">
        <v>2.0016974689999998</v>
      </c>
      <c r="AB115" s="129">
        <v>2.053782429</v>
      </c>
      <c r="AC115" s="129">
        <v>2.053782429</v>
      </c>
      <c r="AE115" s="129">
        <v>2.1302470840000001</v>
      </c>
      <c r="AF115" s="129">
        <v>2.1302470840000001</v>
      </c>
      <c r="AH115" s="30">
        <f t="shared" si="15"/>
        <v>-5.0055217010229747E-3</v>
      </c>
      <c r="AI115" s="30"/>
      <c r="AJ115" s="30"/>
      <c r="AK115" s="30">
        <f t="shared" si="18"/>
        <v>-5.9741918337219424E-3</v>
      </c>
      <c r="AL115" s="30"/>
      <c r="AM115" s="30"/>
      <c r="AN115" s="30">
        <f t="shared" si="19"/>
        <v>-5.9806464344926979E-3</v>
      </c>
      <c r="AO115" s="30"/>
      <c r="AP115" s="30"/>
      <c r="AQ115" s="30">
        <f t="shared" si="20"/>
        <v>-5.9815134254113111E-3</v>
      </c>
      <c r="AR115" s="30"/>
      <c r="AS115" s="30"/>
      <c r="AT115" s="30"/>
      <c r="AU115" s="30"/>
    </row>
    <row r="116" spans="1:47" x14ac:dyDescent="0.2">
      <c r="A116" s="70" t="str">
        <f>Pricing!$A116</f>
        <v>40Y</v>
      </c>
      <c r="B116" s="208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208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208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212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28" t="str">
        <f t="shared" si="21"/>
        <v>EURYC1M_AB1E_40Y</v>
      </c>
      <c r="H116" s="129">
        <f>IF(Pricing!$B116=0,Pricing!$B116*100+0.000001,Pricing!$B116*100)</f>
        <v>1.9370000000012051</v>
      </c>
      <c r="I116" s="129">
        <f t="shared" si="12"/>
        <v>1.9370000000012051</v>
      </c>
      <c r="J116" s="59" t="str">
        <f t="shared" si="22"/>
        <v>EUR_CURVE_3M_40Y</v>
      </c>
      <c r="K116" s="129">
        <f>Pricing!$C116*100</f>
        <v>2.0129999999982782</v>
      </c>
      <c r="L116" s="129">
        <f>Pricing!$C116*100</f>
        <v>2.0129999999982782</v>
      </c>
      <c r="M116" s="59" t="str">
        <f t="shared" si="23"/>
        <v>EURAB6R40Y=</v>
      </c>
      <c r="N116" s="129">
        <f>Pricing!$D116*100</f>
        <v>2.0649999999987583</v>
      </c>
      <c r="O116" s="130">
        <f>Pricing!$D116*100</f>
        <v>2.0649999999987583</v>
      </c>
      <c r="P116" s="59" t="str">
        <f t="shared" si="24"/>
        <v>EUR_CURVE_12M_40Y</v>
      </c>
      <c r="Q116" s="129">
        <f>Pricing!$E116*100</f>
        <v>2.1400000000003376</v>
      </c>
      <c r="R116" s="130">
        <f>Pricing!$E116*100</f>
        <v>2.1400000000003376</v>
      </c>
      <c r="V116" s="129">
        <v>1.9319999999999999</v>
      </c>
      <c r="W116" s="129">
        <v>1.9319999999999999</v>
      </c>
      <c r="Y116" s="129">
        <v>2.0070000000000001</v>
      </c>
      <c r="Z116" s="129">
        <v>2.0070000000000001</v>
      </c>
      <c r="AB116" s="129">
        <v>2.0590000000000002</v>
      </c>
      <c r="AC116" s="129">
        <v>2.0590000000000002</v>
      </c>
      <c r="AE116" s="129">
        <v>2.1339999999999999</v>
      </c>
      <c r="AF116" s="129">
        <v>2.1339999999999999</v>
      </c>
      <c r="AH116" s="30">
        <f t="shared" si="15"/>
        <v>-5.0000000012051515E-3</v>
      </c>
      <c r="AI116" s="30"/>
      <c r="AJ116" s="30"/>
      <c r="AK116" s="30">
        <f t="shared" si="18"/>
        <v>-5.9999999982780494E-3</v>
      </c>
      <c r="AL116" s="30"/>
      <c r="AM116" s="30"/>
      <c r="AN116" s="30">
        <f t="shared" si="19"/>
        <v>-5.9999999987581099E-3</v>
      </c>
      <c r="AO116" s="30"/>
      <c r="AP116" s="30"/>
      <c r="AQ116" s="30">
        <f t="shared" si="20"/>
        <v>-6.0000000003377352E-3</v>
      </c>
      <c r="AR116" s="30"/>
      <c r="AS116" s="30"/>
      <c r="AT116" s="30"/>
      <c r="AU116" s="30"/>
    </row>
    <row r="117" spans="1:47" x14ac:dyDescent="0.2">
      <c r="A117" s="70" t="str">
        <f>Pricing!$A117</f>
        <v>41Y</v>
      </c>
      <c r="B117" s="205"/>
      <c r="C117" s="205"/>
      <c r="D117" s="205"/>
      <c r="E117" s="206"/>
      <c r="G117" s="128" t="str">
        <f t="shared" si="21"/>
        <v>EURYC1M_AB1E_41Y</v>
      </c>
      <c r="H117" s="129">
        <f>IF(Pricing!$B117=0,Pricing!$B117*100+0.000001,Pricing!$B117*100)</f>
        <v>1.9425149963268058</v>
      </c>
      <c r="I117" s="129">
        <f t="shared" si="12"/>
        <v>1.9425149963268058</v>
      </c>
      <c r="J117" s="59" t="str">
        <f t="shared" si="22"/>
        <v>EUR_CURVE_3M_41Y</v>
      </c>
      <c r="K117" s="129">
        <f>Pricing!$C117*100</f>
        <v>2.0176178406258303</v>
      </c>
      <c r="L117" s="129">
        <f>Pricing!$C117*100</f>
        <v>2.0176178406258303</v>
      </c>
      <c r="M117" s="59" t="str">
        <f t="shared" si="23"/>
        <v>EURAB6R41Y=</v>
      </c>
      <c r="N117" s="129">
        <f>Pricing!$D117*100</f>
        <v>2.069344813989491</v>
      </c>
      <c r="O117" s="130">
        <f>Pricing!$D117*100</f>
        <v>2.069344813989491</v>
      </c>
      <c r="P117" s="59" t="str">
        <f t="shared" si="24"/>
        <v>EUR_CURVE_12M_41Y</v>
      </c>
      <c r="Q117" s="129">
        <f>Pricing!$E117*100</f>
        <v>2.1431414076078354</v>
      </c>
      <c r="R117" s="130">
        <f>Pricing!$E117*100</f>
        <v>2.1431414076078354</v>
      </c>
      <c r="V117" s="129">
        <v>2.436601</v>
      </c>
      <c r="W117" s="129">
        <v>2.436601</v>
      </c>
      <c r="Y117" s="129" t="s">
        <v>126</v>
      </c>
      <c r="Z117" s="129" t="s">
        <v>126</v>
      </c>
      <c r="AB117" s="129" t="s">
        <v>126</v>
      </c>
      <c r="AC117" s="129" t="s">
        <v>126</v>
      </c>
      <c r="AE117" s="129" t="s">
        <v>126</v>
      </c>
      <c r="AF117" s="129" t="s">
        <v>126</v>
      </c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</row>
    <row r="118" spans="1:47" x14ac:dyDescent="0.2">
      <c r="A118" s="70" t="str">
        <f>Pricing!$A118</f>
        <v>42Y</v>
      </c>
      <c r="B118" s="205"/>
      <c r="C118" s="205"/>
      <c r="D118" s="205"/>
      <c r="E118" s="206"/>
      <c r="G118" s="128" t="str">
        <f t="shared" si="21"/>
        <v>EURYC1M_AB1E_42Y</v>
      </c>
      <c r="H118" s="129">
        <f>IF(Pricing!$B118=0,Pricing!$B118*100+0.000001,Pricing!$B118*100)</f>
        <v>1.9475224349784839</v>
      </c>
      <c r="I118" s="129">
        <f t="shared" si="12"/>
        <v>1.9475224349784839</v>
      </c>
      <c r="J118" s="59" t="str">
        <f t="shared" si="22"/>
        <v>EUR_CURVE_3M_42Y</v>
      </c>
      <c r="K118" s="129">
        <f>Pricing!$C118*100</f>
        <v>2.0217404327851138</v>
      </c>
      <c r="L118" s="129">
        <f>Pricing!$C118*100</f>
        <v>2.0217404327851138</v>
      </c>
      <c r="M118" s="59" t="str">
        <f t="shared" si="23"/>
        <v>EURAB6R42Y=</v>
      </c>
      <c r="N118" s="129">
        <f>Pricing!$D118*100</f>
        <v>2.0730319280126497</v>
      </c>
      <c r="O118" s="130">
        <f>Pricing!$D118*100</f>
        <v>2.0730319280126497</v>
      </c>
      <c r="P118" s="59" t="str">
        <f t="shared" si="24"/>
        <v>EUR_CURVE_12M_42Y</v>
      </c>
      <c r="Q118" s="129">
        <f>Pricing!$E118*100</f>
        <v>2.1458538419437954</v>
      </c>
      <c r="R118" s="130">
        <f>Pricing!$E118*100</f>
        <v>2.1458538419437954</v>
      </c>
      <c r="V118" s="129">
        <v>2.4349370000000001</v>
      </c>
      <c r="W118" s="129">
        <v>2.4349370000000001</v>
      </c>
      <c r="Y118" s="129" t="s">
        <v>126</v>
      </c>
      <c r="Z118" s="129" t="s">
        <v>126</v>
      </c>
      <c r="AB118" s="129" t="s">
        <v>126</v>
      </c>
      <c r="AC118" s="129" t="s">
        <v>126</v>
      </c>
      <c r="AE118" s="129" t="s">
        <v>126</v>
      </c>
      <c r="AF118" s="129" t="s">
        <v>126</v>
      </c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</row>
    <row r="119" spans="1:47" x14ac:dyDescent="0.2">
      <c r="A119" s="70" t="str">
        <f>Pricing!$A119</f>
        <v>43Y</v>
      </c>
      <c r="B119" s="205"/>
      <c r="C119" s="205"/>
      <c r="D119" s="205"/>
      <c r="E119" s="206"/>
      <c r="G119" s="128" t="str">
        <f t="shared" si="21"/>
        <v>EURYC1M_AB1E_43Y</v>
      </c>
      <c r="H119" s="129">
        <f>IF(Pricing!$B119=0,Pricing!$B119*100+0.000001,Pricing!$B119*100)</f>
        <v>1.9519356191715613</v>
      </c>
      <c r="I119" s="129">
        <f t="shared" si="12"/>
        <v>1.9519356191715613</v>
      </c>
      <c r="J119" s="59" t="str">
        <f t="shared" si="22"/>
        <v>EUR_CURVE_3M_43Y</v>
      </c>
      <c r="K119" s="129">
        <f>Pricing!$C119*100</f>
        <v>2.0252822221573985</v>
      </c>
      <c r="L119" s="129">
        <f>Pricing!$C119*100</f>
        <v>2.0252822221573985</v>
      </c>
      <c r="M119" s="59" t="str">
        <f t="shared" si="23"/>
        <v>EURAB6R43Y=</v>
      </c>
      <c r="N119" s="129">
        <f>Pricing!$D119*100</f>
        <v>2.0760134049094496</v>
      </c>
      <c r="O119" s="130">
        <f>Pricing!$D119*100</f>
        <v>2.0760134049094496</v>
      </c>
      <c r="P119" s="59" t="str">
        <f t="shared" si="24"/>
        <v>EUR_CURVE_12M_43Y</v>
      </c>
      <c r="Q119" s="129">
        <f>Pricing!$E119*100</f>
        <v>2.1480444809567598</v>
      </c>
      <c r="R119" s="130">
        <f>Pricing!$E119*100</f>
        <v>2.1480444809567598</v>
      </c>
      <c r="V119" s="129">
        <v>2.4333640000000001</v>
      </c>
      <c r="W119" s="129">
        <v>2.4333640000000001</v>
      </c>
      <c r="Y119" s="129" t="s">
        <v>126</v>
      </c>
      <c r="Z119" s="129" t="s">
        <v>126</v>
      </c>
      <c r="AB119" s="129" t="s">
        <v>126</v>
      </c>
      <c r="AC119" s="129" t="s">
        <v>126</v>
      </c>
      <c r="AE119" s="129" t="s">
        <v>126</v>
      </c>
      <c r="AF119" s="129" t="s">
        <v>126</v>
      </c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</row>
    <row r="120" spans="1:47" x14ac:dyDescent="0.2">
      <c r="A120" s="70" t="str">
        <f>Pricing!$A120</f>
        <v>44Y</v>
      </c>
      <c r="B120" s="205"/>
      <c r="C120" s="205"/>
      <c r="D120" s="205"/>
      <c r="E120" s="206"/>
      <c r="G120" s="128" t="str">
        <f t="shared" si="21"/>
        <v>EURYC1M_AB1E_44Y</v>
      </c>
      <c r="H120" s="129">
        <f>IF(Pricing!$B120=0,Pricing!$B120*100+0.000001,Pricing!$B120*100)</f>
        <v>1.9559089687585109</v>
      </c>
      <c r="I120" s="129">
        <f t="shared" si="12"/>
        <v>1.9559089687585109</v>
      </c>
      <c r="J120" s="59" t="str">
        <f t="shared" si="22"/>
        <v>EUR_CURVE_3M_44Y</v>
      </c>
      <c r="K120" s="129">
        <f>Pricing!$C120*100</f>
        <v>2.0284047626633033</v>
      </c>
      <c r="L120" s="129">
        <f>Pricing!$C120*100</f>
        <v>2.0284047626633033</v>
      </c>
      <c r="M120" s="59" t="str">
        <f t="shared" si="23"/>
        <v>EURAB6R44Y=</v>
      </c>
      <c r="N120" s="129">
        <f>Pricing!$D120*100</f>
        <v>2.0784895668375158</v>
      </c>
      <c r="O120" s="130">
        <f>Pricing!$D120*100</f>
        <v>2.0784895668375158</v>
      </c>
      <c r="P120" s="59" t="str">
        <f t="shared" si="24"/>
        <v>EUR_CURVE_12M_44Y</v>
      </c>
      <c r="Q120" s="129">
        <f>Pricing!$E120*100</f>
        <v>2.1498786416532059</v>
      </c>
      <c r="R120" s="130">
        <f>Pricing!$E120*100</f>
        <v>2.1498786416532059</v>
      </c>
      <c r="V120" s="129">
        <v>2.4318759999999999</v>
      </c>
      <c r="W120" s="129">
        <v>2.4318759999999999</v>
      </c>
      <c r="Y120" s="129" t="s">
        <v>126</v>
      </c>
      <c r="Z120" s="129" t="s">
        <v>126</v>
      </c>
      <c r="AB120" s="129" t="s">
        <v>126</v>
      </c>
      <c r="AC120" s="129" t="s">
        <v>126</v>
      </c>
      <c r="AE120" s="129" t="s">
        <v>126</v>
      </c>
      <c r="AF120" s="129" t="s">
        <v>126</v>
      </c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</row>
    <row r="121" spans="1:47" x14ac:dyDescent="0.2">
      <c r="A121" s="70" t="str">
        <f>Pricing!$A121</f>
        <v>45Y</v>
      </c>
      <c r="B121" s="205"/>
      <c r="C121" s="205"/>
      <c r="D121" s="205"/>
      <c r="E121" s="206"/>
      <c r="G121" s="128" t="str">
        <f t="shared" si="21"/>
        <v>EURYC1M_AB1E_45Y</v>
      </c>
      <c r="H121" s="129">
        <f>IF(Pricing!$B121=0,Pricing!$B121*100+0.000001,Pricing!$B121*100)</f>
        <v>1.959510382326306</v>
      </c>
      <c r="I121" s="129">
        <f t="shared" si="12"/>
        <v>1.959510382326306</v>
      </c>
      <c r="J121" s="59" t="str">
        <f t="shared" si="22"/>
        <v>EUR_CURVE_3M_45Y</v>
      </c>
      <c r="K121" s="129">
        <f>Pricing!$C121*100</f>
        <v>2.0311795776244743</v>
      </c>
      <c r="L121" s="129">
        <f>Pricing!$C121*100</f>
        <v>2.0311795776244743</v>
      </c>
      <c r="M121" s="59" t="str">
        <f t="shared" si="23"/>
        <v>EURAB6R45Y=</v>
      </c>
      <c r="N121" s="129">
        <f>Pricing!$D121*100</f>
        <v>2.0805645824686487</v>
      </c>
      <c r="O121" s="130">
        <f>Pricing!$D121*100</f>
        <v>2.0805645824686487</v>
      </c>
      <c r="P121" s="59" t="str">
        <f t="shared" si="24"/>
        <v>EUR_CURVE_12M_45Y</v>
      </c>
      <c r="Q121" s="129">
        <f>Pricing!$E121*100</f>
        <v>2.1514266227706713</v>
      </c>
      <c r="R121" s="130">
        <f>Pricing!$E121*100</f>
        <v>2.1514266227706713</v>
      </c>
      <c r="V121" s="129">
        <v>2.4305370000000002</v>
      </c>
      <c r="W121" s="129">
        <v>2.4305370000000002</v>
      </c>
      <c r="Y121" s="129" t="s">
        <v>126</v>
      </c>
      <c r="Z121" s="129" t="s">
        <v>126</v>
      </c>
      <c r="AB121" s="129" t="s">
        <v>126</v>
      </c>
      <c r="AC121" s="129" t="s">
        <v>126</v>
      </c>
      <c r="AE121" s="129" t="s">
        <v>126</v>
      </c>
      <c r="AF121" s="129" t="s">
        <v>126</v>
      </c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</row>
    <row r="122" spans="1:47" x14ac:dyDescent="0.2">
      <c r="A122" s="70" t="str">
        <f>Pricing!$A122</f>
        <v>46Y</v>
      </c>
      <c r="B122" s="205"/>
      <c r="C122" s="205"/>
      <c r="D122" s="205"/>
      <c r="E122" s="206"/>
      <c r="G122" s="128" t="str">
        <f t="shared" si="21"/>
        <v>EURYC1M_AB1E_46Y</v>
      </c>
      <c r="H122" s="129">
        <f>IF(Pricing!$B122=0,Pricing!$B122*100+0.000001,Pricing!$B122*100)</f>
        <v>1.9628854235037356</v>
      </c>
      <c r="I122" s="129">
        <f t="shared" si="12"/>
        <v>1.9628854235037356</v>
      </c>
      <c r="J122" s="59" t="str">
        <f t="shared" si="22"/>
        <v>EUR_CURVE_3M_46Y</v>
      </c>
      <c r="K122" s="129">
        <f>Pricing!$C122*100</f>
        <v>2.0337535755745582</v>
      </c>
      <c r="L122" s="129">
        <f>Pricing!$C122*100</f>
        <v>2.0337535755745582</v>
      </c>
      <c r="M122" s="59" t="str">
        <f t="shared" si="23"/>
        <v>EURAB6R46Y=</v>
      </c>
      <c r="N122" s="129">
        <f>Pricing!$D122*100</f>
        <v>2.0824121432267457</v>
      </c>
      <c r="O122" s="130">
        <f>Pricing!$D122*100</f>
        <v>2.0824121432267457</v>
      </c>
      <c r="P122" s="59" t="str">
        <f t="shared" si="24"/>
        <v>EUR_CURVE_12M_46Y</v>
      </c>
      <c r="Q122" s="129">
        <f>Pricing!$E122*100</f>
        <v>2.1528320795393228</v>
      </c>
      <c r="R122" s="130">
        <f>Pricing!$E122*100</f>
        <v>2.1528320795393228</v>
      </c>
      <c r="V122" s="129">
        <v>2.4292020000000001</v>
      </c>
      <c r="W122" s="129">
        <v>2.4292020000000001</v>
      </c>
      <c r="Y122" s="129" t="s">
        <v>126</v>
      </c>
      <c r="Z122" s="129" t="s">
        <v>126</v>
      </c>
      <c r="AB122" s="129" t="s">
        <v>126</v>
      </c>
      <c r="AC122" s="129" t="s">
        <v>126</v>
      </c>
      <c r="AE122" s="129" t="s">
        <v>126</v>
      </c>
      <c r="AF122" s="129" t="s">
        <v>126</v>
      </c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</row>
    <row r="123" spans="1:47" x14ac:dyDescent="0.2">
      <c r="A123" s="70" t="str">
        <f>Pricing!$A123</f>
        <v>47Y</v>
      </c>
      <c r="B123" s="205"/>
      <c r="C123" s="205"/>
      <c r="D123" s="205"/>
      <c r="E123" s="206"/>
      <c r="G123" s="128" t="str">
        <f t="shared" si="21"/>
        <v>EURYC1M_AB1E_47Y</v>
      </c>
      <c r="H123" s="129">
        <f>IF(Pricing!$B123=0,Pricing!$B123*100+0.000001,Pricing!$B123*100)</f>
        <v>1.9659093600613846</v>
      </c>
      <c r="I123" s="129">
        <f t="shared" si="12"/>
        <v>1.9659093600613846</v>
      </c>
      <c r="J123" s="59" t="str">
        <f t="shared" si="22"/>
        <v>EUR_CURVE_3M_47Y</v>
      </c>
      <c r="K123" s="129">
        <f>Pricing!$C123*100</f>
        <v>2.0360107577437834</v>
      </c>
      <c r="L123" s="129">
        <f>Pricing!$C123*100</f>
        <v>2.0360107577437834</v>
      </c>
      <c r="M123" s="59" t="str">
        <f t="shared" si="23"/>
        <v>EURAB6R47Y=</v>
      </c>
      <c r="N123" s="129">
        <f>Pricing!$D123*100</f>
        <v>2.083948821413447</v>
      </c>
      <c r="O123" s="130">
        <f>Pricing!$D123*100</f>
        <v>2.083948821413447</v>
      </c>
      <c r="P123" s="59" t="str">
        <f t="shared" si="24"/>
        <v>EUR_CURVE_12M_47Y</v>
      </c>
      <c r="Q123" s="129">
        <f>Pricing!$E123*100</f>
        <v>2.1539853063217773</v>
      </c>
      <c r="R123" s="130">
        <f>Pricing!$E123*100</f>
        <v>2.1539853063217773</v>
      </c>
      <c r="V123" s="129">
        <v>2.4279350000000002</v>
      </c>
      <c r="W123" s="129">
        <v>2.4279350000000002</v>
      </c>
      <c r="Y123" s="129" t="s">
        <v>126</v>
      </c>
      <c r="Z123" s="129" t="s">
        <v>126</v>
      </c>
      <c r="AB123" s="129" t="s">
        <v>126</v>
      </c>
      <c r="AC123" s="129" t="s">
        <v>126</v>
      </c>
      <c r="AE123" s="129" t="s">
        <v>126</v>
      </c>
      <c r="AF123" s="129" t="s">
        <v>126</v>
      </c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</row>
    <row r="124" spans="1:47" x14ac:dyDescent="0.2">
      <c r="A124" s="70" t="str">
        <f>Pricing!$A124</f>
        <v>48Y</v>
      </c>
      <c r="B124" s="205"/>
      <c r="C124" s="205"/>
      <c r="D124" s="205"/>
      <c r="E124" s="206"/>
      <c r="G124" s="128" t="str">
        <f t="shared" si="21"/>
        <v>EURYC1M_AB1E_48Y</v>
      </c>
      <c r="H124" s="129">
        <f>IF(Pricing!$B124=0,Pricing!$B124*100+0.000001,Pricing!$B124*100)</f>
        <v>1.9687343095316185</v>
      </c>
      <c r="I124" s="129">
        <f t="shared" si="12"/>
        <v>1.9687343095316185</v>
      </c>
      <c r="J124" s="59" t="str">
        <f t="shared" si="22"/>
        <v>EUR_CURVE_3M_48Y</v>
      </c>
      <c r="K124" s="129">
        <f>Pricing!$C124*100</f>
        <v>2.0380995506164385</v>
      </c>
      <c r="L124" s="129">
        <f>Pricing!$C124*100</f>
        <v>2.0380995506164385</v>
      </c>
      <c r="M124" s="59" t="str">
        <f t="shared" si="23"/>
        <v>EURAB6R48Y=</v>
      </c>
      <c r="N124" s="129">
        <f>Pricing!$D124*100</f>
        <v>2.0853399682973093</v>
      </c>
      <c r="O124" s="130">
        <f>Pricing!$D124*100</f>
        <v>2.0853399682973093</v>
      </c>
      <c r="P124" s="59" t="str">
        <f t="shared" si="24"/>
        <v>EUR_CURVE_12M_48Y</v>
      </c>
      <c r="Q124" s="129">
        <f>Pricing!$E124*100</f>
        <v>2.1550252997973525</v>
      </c>
      <c r="R124" s="130">
        <f>Pricing!$E124*100</f>
        <v>2.1550252997973525</v>
      </c>
      <c r="V124" s="129">
        <v>2.4267259999999999</v>
      </c>
      <c r="W124" s="129">
        <v>2.4267259999999999</v>
      </c>
      <c r="Y124" s="129" t="s">
        <v>126</v>
      </c>
      <c r="Z124" s="129" t="s">
        <v>126</v>
      </c>
      <c r="AB124" s="129" t="s">
        <v>126</v>
      </c>
      <c r="AC124" s="129" t="s">
        <v>126</v>
      </c>
      <c r="AE124" s="129" t="s">
        <v>126</v>
      </c>
      <c r="AF124" s="129" t="s">
        <v>126</v>
      </c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</row>
    <row r="125" spans="1:47" x14ac:dyDescent="0.2">
      <c r="A125" s="70" t="str">
        <f>Pricing!$A125</f>
        <v>49Y</v>
      </c>
      <c r="B125" s="205"/>
      <c r="C125" s="205"/>
      <c r="D125" s="205"/>
      <c r="E125" s="206"/>
      <c r="G125" s="128" t="str">
        <f t="shared" si="21"/>
        <v>EURYC1M_AB1E_49Y</v>
      </c>
      <c r="H125" s="129">
        <f>IF(Pricing!$B125=0,Pricing!$B125*100+0.000001,Pricing!$B125*100)</f>
        <v>1.9713958606028956</v>
      </c>
      <c r="I125" s="129">
        <f t="shared" si="12"/>
        <v>1.9713958606028956</v>
      </c>
      <c r="J125" s="59" t="str">
        <f t="shared" si="22"/>
        <v>EUR_CURVE_3M_49Y</v>
      </c>
      <c r="K125" s="129">
        <f>Pricing!$C125*100</f>
        <v>2.0400598973488191</v>
      </c>
      <c r="L125" s="129">
        <f>Pricing!$C125*100</f>
        <v>2.0400598973488191</v>
      </c>
      <c r="M125" s="59" t="str">
        <f t="shared" si="23"/>
        <v>EURAB6R49Y=</v>
      </c>
      <c r="N125" s="129">
        <f>Pricing!$D125*100</f>
        <v>2.0866481908481971</v>
      </c>
      <c r="O125" s="130">
        <f>Pricing!$D125*100</f>
        <v>2.0866481908481971</v>
      </c>
      <c r="P125" s="59" t="str">
        <f t="shared" si="24"/>
        <v>EUR_CURVE_12M_49Y</v>
      </c>
      <c r="Q125" s="129">
        <f>Pricing!$E125*100</f>
        <v>2.1559941173272366</v>
      </c>
      <c r="R125" s="130">
        <f>Pricing!$E125*100</f>
        <v>2.1559941173272366</v>
      </c>
      <c r="V125" s="129">
        <v>2.4256470000000001</v>
      </c>
      <c r="W125" s="129">
        <v>2.4256470000000001</v>
      </c>
      <c r="Y125" s="129" t="s">
        <v>126</v>
      </c>
      <c r="Z125" s="129" t="s">
        <v>126</v>
      </c>
      <c r="AB125" s="129" t="s">
        <v>126</v>
      </c>
      <c r="AC125" s="129" t="s">
        <v>126</v>
      </c>
      <c r="AE125" s="129" t="s">
        <v>126</v>
      </c>
      <c r="AF125" s="129" t="s">
        <v>126</v>
      </c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</row>
    <row r="126" spans="1:47" x14ac:dyDescent="0.2">
      <c r="A126" s="70" t="str">
        <f>Pricing!$A126</f>
        <v>50Y</v>
      </c>
      <c r="B126" s="208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208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208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212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28" t="str">
        <f t="shared" si="21"/>
        <v>EURYC1M_AB1E_50Y</v>
      </c>
      <c r="H126" s="129">
        <f>IF(Pricing!$B126=0,Pricing!$B126*100+0.000001,Pricing!$B126*100)</f>
        <v>1.9739999999989142</v>
      </c>
      <c r="I126" s="129">
        <f t="shared" si="12"/>
        <v>1.9739999999989142</v>
      </c>
      <c r="J126" s="59" t="str">
        <f t="shared" si="22"/>
        <v>EUR_CURVE_3M_50Y</v>
      </c>
      <c r="K126" s="129">
        <f>Pricing!$C126*100</f>
        <v>2.042000000002687</v>
      </c>
      <c r="L126" s="129">
        <f>Pricing!$C126*100</f>
        <v>2.042000000002687</v>
      </c>
      <c r="M126" s="59" t="str">
        <f t="shared" si="23"/>
        <v>EURAB6R50Y=</v>
      </c>
      <c r="N126" s="129">
        <f>Pricing!$D126*100</f>
        <v>2.0879999999956209</v>
      </c>
      <c r="O126" s="130">
        <f>Pricing!$D126*100</f>
        <v>2.0879999999956209</v>
      </c>
      <c r="P126" s="59" t="str">
        <f t="shared" si="24"/>
        <v>EUR_CURVE_12M_50Y</v>
      </c>
      <c r="Q126" s="129">
        <f>Pricing!$E126*100</f>
        <v>2.1569999999978955</v>
      </c>
      <c r="R126" s="130">
        <f>Pricing!$E126*100</f>
        <v>2.1569999999978955</v>
      </c>
      <c r="V126" s="129">
        <v>1.968</v>
      </c>
      <c r="W126" s="129">
        <v>1.968</v>
      </c>
      <c r="Y126" s="129">
        <v>2.036</v>
      </c>
      <c r="Z126" s="129">
        <v>2.036</v>
      </c>
      <c r="AB126" s="129">
        <v>2.0819999999999999</v>
      </c>
      <c r="AC126" s="129">
        <v>2.0819999999999999</v>
      </c>
      <c r="AE126" s="129">
        <v>2.1509999999999998</v>
      </c>
      <c r="AF126" s="129">
        <v>2.1509999999999998</v>
      </c>
      <c r="AH126" s="30">
        <f t="shared" si="15"/>
        <v>-5.9999999989142072E-3</v>
      </c>
      <c r="AI126" s="30"/>
      <c r="AJ126" s="30"/>
      <c r="AK126" s="30">
        <f t="shared" si="18"/>
        <v>-6.0000000026869671E-3</v>
      </c>
      <c r="AL126" s="30"/>
      <c r="AM126" s="30"/>
      <c r="AN126" s="30">
        <f t="shared" si="19"/>
        <v>-5.9999999956210637E-3</v>
      </c>
      <c r="AO126" s="30"/>
      <c r="AP126" s="30"/>
      <c r="AQ126" s="30">
        <f t="shared" si="20"/>
        <v>-5.9999999978956886E-3</v>
      </c>
      <c r="AR126" s="30"/>
      <c r="AS126" s="30"/>
      <c r="AT126" s="30"/>
      <c r="AU126" s="30"/>
    </row>
    <row r="127" spans="1:47" x14ac:dyDescent="0.2">
      <c r="A127" s="70" t="str">
        <f>Pricing!$A127</f>
        <v>51Y</v>
      </c>
      <c r="B127" s="205"/>
      <c r="C127" s="205"/>
      <c r="D127" s="205"/>
      <c r="E127" s="206"/>
      <c r="G127" s="128" t="str">
        <f t="shared" si="21"/>
        <v>EURYC1M_AB1E_51Y</v>
      </c>
      <c r="H127" s="129">
        <f>IF(Pricing!$B127=0,Pricing!$B127*100+0.000001,Pricing!$B127*100)</f>
        <v>1.9764565780279006</v>
      </c>
      <c r="I127" s="129">
        <f t="shared" si="12"/>
        <v>1.9764565780279006</v>
      </c>
      <c r="J127" s="59" t="str">
        <f t="shared" si="22"/>
        <v>EUR_CURVE_3M_51Y</v>
      </c>
      <c r="K127" s="129">
        <f>Pricing!$C127*100</f>
        <v>2.0438267246450224</v>
      </c>
      <c r="L127" s="129">
        <f>Pricing!$C127*100</f>
        <v>2.0438267246450224</v>
      </c>
      <c r="M127" s="59" t="str">
        <f t="shared" si="23"/>
        <v>EURAB6R51Y=</v>
      </c>
      <c r="N127" s="129">
        <f>Pricing!$D127*100</f>
        <v>2.0893121584136924</v>
      </c>
      <c r="O127" s="130">
        <f>Pricing!$D127*100</f>
        <v>2.0893121584136924</v>
      </c>
      <c r="P127" s="59" t="str">
        <f t="shared" si="24"/>
        <v>EUR_CURVE_12M_51Y</v>
      </c>
      <c r="Q127" s="129">
        <f>Pricing!$E127*100</f>
        <v>2.1579416187388158</v>
      </c>
      <c r="R127" s="130">
        <f>Pricing!$E127*100</f>
        <v>2.1579416187388158</v>
      </c>
      <c r="V127" s="129">
        <v>2.4235009999999999</v>
      </c>
      <c r="W127" s="129">
        <v>2.4235009999999999</v>
      </c>
      <c r="Y127" s="129" t="s">
        <v>126</v>
      </c>
      <c r="Z127" s="129" t="s">
        <v>126</v>
      </c>
      <c r="AB127" s="129" t="s">
        <v>126</v>
      </c>
      <c r="AC127" s="129" t="s">
        <v>126</v>
      </c>
      <c r="AE127" s="129" t="s">
        <v>126</v>
      </c>
      <c r="AF127" s="129" t="s">
        <v>126</v>
      </c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</row>
    <row r="128" spans="1:47" x14ac:dyDescent="0.2">
      <c r="A128" s="70" t="str">
        <f>Pricing!$A128</f>
        <v>52Y</v>
      </c>
      <c r="B128" s="205"/>
      <c r="C128" s="205"/>
      <c r="D128" s="205"/>
      <c r="E128" s="206"/>
      <c r="G128" s="128" t="str">
        <f t="shared" si="21"/>
        <v>EURYC1M_AB1E_52Y</v>
      </c>
      <c r="H128" s="129">
        <f>IF(Pricing!$B128=0,Pricing!$B128*100+0.000001,Pricing!$B128*100)</f>
        <v>1.9788085465346363</v>
      </c>
      <c r="I128" s="129">
        <f t="shared" si="12"/>
        <v>1.9788085465346363</v>
      </c>
      <c r="J128" s="59" t="str">
        <f t="shared" si="22"/>
        <v>EUR_CURVE_3M_52Y</v>
      </c>
      <c r="K128" s="129">
        <f>Pricing!$C128*100</f>
        <v>2.0455892068681889</v>
      </c>
      <c r="L128" s="129">
        <f>Pricing!$C128*100</f>
        <v>2.0455892068681889</v>
      </c>
      <c r="M128" s="59" t="str">
        <f t="shared" si="23"/>
        <v>EURAB6R52Y=</v>
      </c>
      <c r="N128" s="129">
        <f>Pricing!$D128*100</f>
        <v>2.0906339479824672</v>
      </c>
      <c r="O128" s="130">
        <f>Pricing!$D128*100</f>
        <v>2.0906339479824672</v>
      </c>
      <c r="P128" s="59" t="str">
        <f t="shared" si="24"/>
        <v>EUR_CURVE_12M_52Y</v>
      </c>
      <c r="Q128" s="129">
        <f>Pricing!$E128*100</f>
        <v>2.1588766515564495</v>
      </c>
      <c r="R128" s="130">
        <f>Pricing!$E128*100</f>
        <v>2.1588766515564495</v>
      </c>
      <c r="V128" s="129">
        <v>2.4225080000000001</v>
      </c>
      <c r="W128" s="129">
        <v>2.4225080000000001</v>
      </c>
      <c r="Y128" s="129" t="s">
        <v>126</v>
      </c>
      <c r="Z128" s="129" t="s">
        <v>126</v>
      </c>
      <c r="AB128" s="129" t="s">
        <v>126</v>
      </c>
      <c r="AC128" s="129" t="s">
        <v>126</v>
      </c>
      <c r="AE128" s="129" t="s">
        <v>126</v>
      </c>
      <c r="AF128" s="129" t="s">
        <v>126</v>
      </c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</row>
    <row r="129" spans="1:47" x14ac:dyDescent="0.2">
      <c r="A129" s="70" t="str">
        <f>Pricing!$A129</f>
        <v>53Y</v>
      </c>
      <c r="B129" s="205"/>
      <c r="C129" s="205"/>
      <c r="D129" s="205"/>
      <c r="E129" s="206"/>
      <c r="G129" s="128" t="str">
        <f t="shared" si="21"/>
        <v>EURYC1M_AB1E_53Y</v>
      </c>
      <c r="H129" s="129">
        <f>IF(Pricing!$B129=0,Pricing!$B129*100+0.000001,Pricing!$B129*100)</f>
        <v>1.9810784058319011</v>
      </c>
      <c r="I129" s="129">
        <f t="shared" si="12"/>
        <v>1.9810784058319011</v>
      </c>
      <c r="J129" s="59" t="str">
        <f t="shared" si="22"/>
        <v>EUR_CURVE_3M_53Y</v>
      </c>
      <c r="K129" s="129">
        <f>Pricing!$C129*100</f>
        <v>2.0473015747109398</v>
      </c>
      <c r="L129" s="129">
        <f>Pricing!$C129*100</f>
        <v>2.0473015747109398</v>
      </c>
      <c r="M129" s="59" t="str">
        <f t="shared" si="23"/>
        <v>EURAB6R53Y=</v>
      </c>
      <c r="N129" s="129">
        <f>Pricing!$D129*100</f>
        <v>2.0919651575290197</v>
      </c>
      <c r="O129" s="130">
        <f>Pricing!$D129*100</f>
        <v>2.0919651575290197</v>
      </c>
      <c r="P129" s="59" t="str">
        <f t="shared" si="24"/>
        <v>EUR_CURVE_12M_53Y</v>
      </c>
      <c r="Q129" s="129">
        <f>Pricing!$E129*100</f>
        <v>2.1598073165303768</v>
      </c>
      <c r="R129" s="130">
        <f>Pricing!$E129*100</f>
        <v>2.1598073165303768</v>
      </c>
      <c r="V129" s="129">
        <v>2.4216199999999999</v>
      </c>
      <c r="W129" s="129">
        <v>2.4216199999999999</v>
      </c>
      <c r="Y129" s="129" t="s">
        <v>126</v>
      </c>
      <c r="Z129" s="129" t="s">
        <v>126</v>
      </c>
      <c r="AB129" s="129" t="s">
        <v>126</v>
      </c>
      <c r="AC129" s="129" t="s">
        <v>126</v>
      </c>
      <c r="AE129" s="129" t="s">
        <v>126</v>
      </c>
      <c r="AF129" s="129" t="s">
        <v>126</v>
      </c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</row>
    <row r="130" spans="1:47" x14ac:dyDescent="0.2">
      <c r="A130" s="70" t="str">
        <f>Pricing!$A130</f>
        <v>54Y</v>
      </c>
      <c r="B130" s="205"/>
      <c r="C130" s="205"/>
      <c r="D130" s="205"/>
      <c r="E130" s="206"/>
      <c r="G130" s="128" t="str">
        <f t="shared" si="21"/>
        <v>EURYC1M_AB1E_54Y</v>
      </c>
      <c r="H130" s="129">
        <f>IF(Pricing!$B130=0,Pricing!$B130*100+0.000001,Pricing!$B130*100)</f>
        <v>1.9833329477894057</v>
      </c>
      <c r="I130" s="129">
        <f t="shared" si="12"/>
        <v>1.9833329477894057</v>
      </c>
      <c r="J130" s="59" t="str">
        <f t="shared" si="22"/>
        <v>EUR_CURVE_3M_54Y</v>
      </c>
      <c r="K130" s="129">
        <f>Pricing!$C130*100</f>
        <v>2.0490267250244432</v>
      </c>
      <c r="L130" s="129">
        <f>Pricing!$C130*100</f>
        <v>2.0490267250244432</v>
      </c>
      <c r="M130" s="59" t="str">
        <f t="shared" si="23"/>
        <v>EURAB6R54Y=</v>
      </c>
      <c r="N130" s="129">
        <f>Pricing!$D130*100</f>
        <v>2.0933592259722236</v>
      </c>
      <c r="O130" s="130">
        <f>Pricing!$D130*100</f>
        <v>2.0933592259722236</v>
      </c>
      <c r="P130" s="59" t="str">
        <f t="shared" si="24"/>
        <v>EUR_CURVE_12M_54Y</v>
      </c>
      <c r="Q130" s="129">
        <f>Pricing!$E130*100</f>
        <v>2.160791431810261</v>
      </c>
      <c r="R130" s="130">
        <f>Pricing!$E130*100</f>
        <v>2.160791431810261</v>
      </c>
      <c r="V130" s="129">
        <v>2.4207100000000001</v>
      </c>
      <c r="W130" s="129">
        <v>2.4207100000000001</v>
      </c>
      <c r="Y130" s="129" t="s">
        <v>126</v>
      </c>
      <c r="Z130" s="129" t="s">
        <v>126</v>
      </c>
      <c r="AB130" s="129" t="s">
        <v>126</v>
      </c>
      <c r="AC130" s="129" t="s">
        <v>126</v>
      </c>
      <c r="AE130" s="129" t="s">
        <v>126</v>
      </c>
      <c r="AF130" s="129" t="s">
        <v>126</v>
      </c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x14ac:dyDescent="0.2">
      <c r="A131" s="70" t="str">
        <f>Pricing!$A131</f>
        <v>55Y</v>
      </c>
      <c r="B131" s="205"/>
      <c r="C131" s="205"/>
      <c r="D131" s="205"/>
      <c r="E131" s="206"/>
      <c r="G131" s="128" t="str">
        <f t="shared" si="21"/>
        <v>EURYC1M_AB1E_55Y</v>
      </c>
      <c r="H131" s="129">
        <f>IF(Pricing!$B131=0,Pricing!$B131*100+0.000001,Pricing!$B131*100)</f>
        <v>1.9854505379988927</v>
      </c>
      <c r="I131" s="129">
        <f t="shared" si="12"/>
        <v>1.9854505379988927</v>
      </c>
      <c r="J131" s="59" t="str">
        <f t="shared" si="22"/>
        <v>EUR_CURVE_3M_55Y</v>
      </c>
      <c r="K131" s="129">
        <f>Pricing!$C131*100</f>
        <v>2.0506413744616498</v>
      </c>
      <c r="L131" s="129">
        <f>Pricing!$C131*100</f>
        <v>2.0506413744616498</v>
      </c>
      <c r="M131" s="59" t="str">
        <f t="shared" si="23"/>
        <v>EURAB6R55Y=</v>
      </c>
      <c r="N131" s="129">
        <f>Pricing!$D131*100</f>
        <v>2.0946851933282624</v>
      </c>
      <c r="O131" s="130">
        <f>Pricing!$D131*100</f>
        <v>2.0946851933282624</v>
      </c>
      <c r="P131" s="59" t="str">
        <f t="shared" si="24"/>
        <v>EUR_CURVE_12M_55Y</v>
      </c>
      <c r="Q131" s="129">
        <f>Pricing!$E131*100</f>
        <v>2.1617021675879498</v>
      </c>
      <c r="R131" s="130">
        <f>Pricing!$E131*100</f>
        <v>2.1617021675879498</v>
      </c>
      <c r="V131" s="129">
        <v>2.4198390000000001</v>
      </c>
      <c r="W131" s="129">
        <v>2.4198390000000001</v>
      </c>
      <c r="Y131" s="129" t="s">
        <v>126</v>
      </c>
      <c r="Z131" s="129" t="s">
        <v>126</v>
      </c>
      <c r="AB131" s="129" t="s">
        <v>126</v>
      </c>
      <c r="AC131" s="129" t="s">
        <v>126</v>
      </c>
      <c r="AE131" s="129" t="s">
        <v>126</v>
      </c>
      <c r="AF131" s="129" t="s">
        <v>126</v>
      </c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</row>
    <row r="132" spans="1:47" x14ac:dyDescent="0.2">
      <c r="A132" s="70" t="str">
        <f>Pricing!$A132</f>
        <v>56Y</v>
      </c>
      <c r="B132" s="205"/>
      <c r="C132" s="205"/>
      <c r="D132" s="205"/>
      <c r="E132" s="206"/>
      <c r="G132" s="128" t="str">
        <f t="shared" si="21"/>
        <v>EURYC1M_AB1E_56Y</v>
      </c>
      <c r="H132" s="129">
        <f>IF(Pricing!$B132=0,Pricing!$B132*100+0.000001,Pricing!$B132*100)</f>
        <v>1.9874926927769372</v>
      </c>
      <c r="I132" s="129">
        <f t="shared" si="12"/>
        <v>1.9874926927769372</v>
      </c>
      <c r="J132" s="59" t="str">
        <f t="shared" si="22"/>
        <v>EUR_CURVE_3M_56Y</v>
      </c>
      <c r="K132" s="129">
        <f>Pricing!$C132*100</f>
        <v>2.0522049286291622</v>
      </c>
      <c r="L132" s="129">
        <f>Pricing!$C132*100</f>
        <v>2.0522049286291622</v>
      </c>
      <c r="M132" s="59" t="str">
        <f t="shared" si="23"/>
        <v>EURAB6R56Y=</v>
      </c>
      <c r="N132" s="129">
        <f>Pricing!$D132*100</f>
        <v>2.0959951950115743</v>
      </c>
      <c r="O132" s="130">
        <f>Pricing!$D132*100</f>
        <v>2.0959951950115743</v>
      </c>
      <c r="P132" s="59" t="str">
        <f t="shared" si="24"/>
        <v>EUR_CURVE_12M_56Y</v>
      </c>
      <c r="Q132" s="129">
        <f>Pricing!$E132*100</f>
        <v>2.1625963717283248</v>
      </c>
      <c r="R132" s="130">
        <f>Pricing!$E132*100</f>
        <v>2.1625963717283248</v>
      </c>
      <c r="V132" s="129">
        <v>2.4190040000000002</v>
      </c>
      <c r="W132" s="129">
        <v>2.4190040000000002</v>
      </c>
      <c r="Y132" s="129" t="s">
        <v>126</v>
      </c>
      <c r="Z132" s="129" t="s">
        <v>126</v>
      </c>
      <c r="AB132" s="129" t="s">
        <v>126</v>
      </c>
      <c r="AC132" s="129" t="s">
        <v>126</v>
      </c>
      <c r="AE132" s="129" t="s">
        <v>126</v>
      </c>
      <c r="AF132" s="129" t="s">
        <v>126</v>
      </c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</row>
    <row r="133" spans="1:47" x14ac:dyDescent="0.2">
      <c r="A133" s="70" t="str">
        <f>Pricing!$A133</f>
        <v>57Y</v>
      </c>
      <c r="B133" s="205"/>
      <c r="C133" s="205"/>
      <c r="D133" s="205"/>
      <c r="E133" s="206"/>
      <c r="G133" s="128" t="str">
        <f t="shared" si="21"/>
        <v>EURYC1M_AB1E_57Y</v>
      </c>
      <c r="H133" s="129">
        <f>IF(Pricing!$B133=0,Pricing!$B133*100+0.000001,Pricing!$B133*100)</f>
        <v>1.9894719107969576</v>
      </c>
      <c r="I133" s="129">
        <f t="shared" si="12"/>
        <v>1.9894719107969576</v>
      </c>
      <c r="J133" s="59" t="str">
        <f t="shared" si="22"/>
        <v>EUR_CURVE_3M_57Y</v>
      </c>
      <c r="K133" s="129">
        <f>Pricing!$C133*100</f>
        <v>2.0537252274838869</v>
      </c>
      <c r="L133" s="129">
        <f>Pricing!$C133*100</f>
        <v>2.0537252274838869</v>
      </c>
      <c r="M133" s="59" t="str">
        <f t="shared" si="23"/>
        <v>EURAB6R57Y=</v>
      </c>
      <c r="N133" s="129">
        <f>Pricing!$D133*100</f>
        <v>2.0972890691009995</v>
      </c>
      <c r="O133" s="130">
        <f>Pricing!$D133*100</f>
        <v>2.0972890691009995</v>
      </c>
      <c r="P133" s="59" t="str">
        <f t="shared" si="24"/>
        <v>EUR_CURVE_12M_57Y</v>
      </c>
      <c r="Q133" s="129">
        <f>Pricing!$E133*100</f>
        <v>2.1634752559198374</v>
      </c>
      <c r="R133" s="130">
        <f>Pricing!$E133*100</f>
        <v>2.1634752559198374</v>
      </c>
      <c r="V133" s="129">
        <v>2.418256</v>
      </c>
      <c r="W133" s="129">
        <v>2.418256</v>
      </c>
      <c r="Y133" s="129" t="s">
        <v>126</v>
      </c>
      <c r="Z133" s="129" t="s">
        <v>126</v>
      </c>
      <c r="AB133" s="129" t="s">
        <v>126</v>
      </c>
      <c r="AC133" s="129" t="s">
        <v>126</v>
      </c>
      <c r="AE133" s="129" t="s">
        <v>126</v>
      </c>
      <c r="AF133" s="129" t="s">
        <v>126</v>
      </c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</row>
    <row r="134" spans="1:47" x14ac:dyDescent="0.2">
      <c r="A134" s="70" t="str">
        <f>Pricing!$A134</f>
        <v>58Y</v>
      </c>
      <c r="B134" s="205"/>
      <c r="C134" s="205"/>
      <c r="D134" s="205"/>
      <c r="E134" s="206"/>
      <c r="G134" s="128" t="str">
        <f t="shared" si="21"/>
        <v>EURYC1M_AB1E_58Y</v>
      </c>
      <c r="H134" s="129">
        <f>IF(Pricing!$B134=0,Pricing!$B134*100+0.000001,Pricing!$B134*100)</f>
        <v>1.9914111493634503</v>
      </c>
      <c r="I134" s="129">
        <f t="shared" ref="I134:I136" si="25">H134</f>
        <v>1.9914111493634503</v>
      </c>
      <c r="J134" s="59" t="str">
        <f t="shared" si="22"/>
        <v>EUR_CURVE_3M_58Y</v>
      </c>
      <c r="K134" s="129">
        <f>Pricing!$C134*100</f>
        <v>2.0552308801000239</v>
      </c>
      <c r="L134" s="129">
        <f>Pricing!$C134*100</f>
        <v>2.0552308801000239</v>
      </c>
      <c r="M134" s="59" t="str">
        <f t="shared" si="23"/>
        <v>EURAB6R58Y=</v>
      </c>
      <c r="N134" s="129">
        <f>Pricing!$D134*100</f>
        <v>2.0985931920670358</v>
      </c>
      <c r="O134" s="130">
        <f>Pricing!$D134*100</f>
        <v>2.0985931920670358</v>
      </c>
      <c r="P134" s="59" t="str">
        <f t="shared" si="24"/>
        <v>EUR_CURVE_12M_58Y</v>
      </c>
      <c r="Q134" s="129">
        <f>Pricing!$E134*100</f>
        <v>2.1643756316563447</v>
      </c>
      <c r="R134" s="130">
        <f>Pricing!$E134*100</f>
        <v>2.1643756316563447</v>
      </c>
      <c r="V134" s="129">
        <v>2.4174890000000002</v>
      </c>
      <c r="W134" s="129">
        <v>2.4174890000000002</v>
      </c>
      <c r="Y134" s="129" t="s">
        <v>126</v>
      </c>
      <c r="Z134" s="129" t="s">
        <v>126</v>
      </c>
      <c r="AB134" s="129" t="s">
        <v>126</v>
      </c>
      <c r="AC134" s="129" t="s">
        <v>126</v>
      </c>
      <c r="AE134" s="129" t="s">
        <v>126</v>
      </c>
      <c r="AF134" s="129" t="s">
        <v>126</v>
      </c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</row>
    <row r="135" spans="1:47" x14ac:dyDescent="0.2">
      <c r="A135" s="70" t="str">
        <f>Pricing!$A135</f>
        <v>59Y</v>
      </c>
      <c r="B135" s="205"/>
      <c r="C135" s="205"/>
      <c r="D135" s="205"/>
      <c r="E135" s="206"/>
      <c r="G135" s="128" t="str">
        <f t="shared" si="21"/>
        <v>EURYC1M_AB1E_59Y</v>
      </c>
      <c r="H135" s="129">
        <f>IF(Pricing!$B135=0,Pricing!$B135*100+0.000001,Pricing!$B135*100)</f>
        <v>1.9932391792045507</v>
      </c>
      <c r="I135" s="129">
        <f t="shared" si="25"/>
        <v>1.9932391792045507</v>
      </c>
      <c r="J135" s="59" t="str">
        <f t="shared" si="22"/>
        <v>EUR_CURVE_3M_59Y</v>
      </c>
      <c r="K135" s="129">
        <f>Pricing!$C135*100</f>
        <v>2.0566407962940856</v>
      </c>
      <c r="L135" s="129">
        <f>Pricing!$C135*100</f>
        <v>2.0566407962940856</v>
      </c>
      <c r="M135" s="59" t="str">
        <f t="shared" si="23"/>
        <v>EURAB6R59Y=</v>
      </c>
      <c r="N135" s="129">
        <f>Pricing!$D135*100</f>
        <v>2.0998163428239867</v>
      </c>
      <c r="O135" s="130">
        <f>Pricing!$D135*100</f>
        <v>2.0998163428239867</v>
      </c>
      <c r="P135" s="59" t="str">
        <f t="shared" si="24"/>
        <v>EUR_CURVE_12M_59Y</v>
      </c>
      <c r="Q135" s="129">
        <f>Pricing!$E135*100</f>
        <v>2.1652016065049833</v>
      </c>
      <c r="R135" s="130">
        <f>Pricing!$E135*100</f>
        <v>2.1652016065049833</v>
      </c>
      <c r="V135" s="129">
        <v>2.4167510000000001</v>
      </c>
      <c r="W135" s="129">
        <v>2.4167510000000001</v>
      </c>
      <c r="Y135" s="129" t="s">
        <v>126</v>
      </c>
      <c r="Z135" s="129" t="s">
        <v>126</v>
      </c>
      <c r="AB135" s="129" t="s">
        <v>126</v>
      </c>
      <c r="AC135" s="129" t="s">
        <v>126</v>
      </c>
      <c r="AE135" s="129" t="s">
        <v>126</v>
      </c>
      <c r="AF135" s="129" t="s">
        <v>126</v>
      </c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</row>
    <row r="136" spans="1:47" x14ac:dyDescent="0.2">
      <c r="A136" s="61" t="str">
        <f>Pricing!$A136</f>
        <v>60Y</v>
      </c>
      <c r="B136" s="209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209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209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213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28" t="str">
        <f t="shared" si="21"/>
        <v>EURYC1M_AB1E_60Y</v>
      </c>
      <c r="H136" s="129">
        <f>IF(Pricing!$B136=0,Pricing!$B136*100+0.000001,Pricing!$B136*100)</f>
        <v>1.9949999999999963</v>
      </c>
      <c r="I136" s="129">
        <f t="shared" si="25"/>
        <v>1.9949999999999963</v>
      </c>
      <c r="J136" s="59" t="str">
        <f t="shared" si="22"/>
        <v>EUR_CURVE_3M_60Y</v>
      </c>
      <c r="K136" s="129">
        <f>Pricing!$C136*100</f>
        <v>2.0579999999981733</v>
      </c>
      <c r="L136" s="129">
        <f>Pricing!$C136*100</f>
        <v>2.0579999999981733</v>
      </c>
      <c r="M136" s="59" t="str">
        <f t="shared" si="23"/>
        <v>EURAB6R60Y=</v>
      </c>
      <c r="N136" s="129">
        <f>Pricing!$D136*100</f>
        <v>2.1010000000000004</v>
      </c>
      <c r="O136" s="130">
        <f>Pricing!$D136*100</f>
        <v>2.1010000000000004</v>
      </c>
      <c r="P136" s="59" t="str">
        <f t="shared" si="24"/>
        <v>EUR_CURVE_12M_60Y</v>
      </c>
      <c r="Q136" s="129">
        <f>Pricing!$E136*100</f>
        <v>2.1660000000030202</v>
      </c>
      <c r="R136" s="130">
        <f>Pricing!$E136*100</f>
        <v>2.1660000000030202</v>
      </c>
      <c r="V136" s="129">
        <v>1.9890000000000001</v>
      </c>
      <c r="W136" s="129">
        <v>1.9890000000000001</v>
      </c>
      <c r="Y136" s="129">
        <v>2.052</v>
      </c>
      <c r="Z136" s="129">
        <v>2.052</v>
      </c>
      <c r="AB136" s="129">
        <v>2.0950000000000002</v>
      </c>
      <c r="AC136" s="129">
        <v>2.0950000000000002</v>
      </c>
      <c r="AE136" s="129">
        <v>2.16</v>
      </c>
      <c r="AF136" s="129">
        <v>2.16</v>
      </c>
      <c r="AH136" s="30">
        <f>(V136-H136+W136-I136)/2</f>
        <v>-5.9999999999962306E-3</v>
      </c>
      <c r="AI136" s="30"/>
      <c r="AJ136" s="30"/>
      <c r="AK136" s="30">
        <f t="shared" si="18"/>
        <v>-5.9999999981732444E-3</v>
      </c>
      <c r="AL136" s="30"/>
      <c r="AM136" s="30"/>
      <c r="AN136" s="30">
        <f>(AB136-N136+AC136-O136)/2</f>
        <v>-6.0000000000002274E-3</v>
      </c>
      <c r="AO136" s="30"/>
      <c r="AP136" s="30"/>
      <c r="AQ136" s="30">
        <f>(AE136-Q136+AF136-R136)/2</f>
        <v>-6.000000003020034E-3</v>
      </c>
      <c r="AR136" s="30"/>
      <c r="AS136" s="30"/>
      <c r="AT136" s="30"/>
      <c r="AU136" s="30"/>
    </row>
    <row r="137" spans="1:47" x14ac:dyDescent="0.2"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</sheetData>
  <phoneticPr fontId="2" type="noConversion"/>
  <dataValidations disablePrompts="1"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Triggers</vt:lpstr>
      <vt:lpstr>Indexes</vt:lpstr>
      <vt:lpstr>Pricing</vt:lpstr>
      <vt:lpstr>Contribution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2014-09-10T06:44:22Z</dcterms:modified>
</cp:coreProperties>
</file>