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65" windowHeight="9390" tabRatio="695"/>
  </bookViews>
  <sheets>
    <sheet name="General Settings" sheetId="29" r:id="rId1"/>
    <sheet name="SynthDepo" sheetId="32" r:id="rId2"/>
    <sheet name="RateHelpersFra" sheetId="34" r:id="rId3"/>
    <sheet name="SynthFra" sheetId="35" r:id="rId4"/>
    <sheet name="Contribution" sheetId="33" r:id="rId5"/>
  </sheets>
  <externalReferences>
    <externalReference r:id="rId6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Contribution!$N$3:$N$84</definedName>
    <definedName name="QuoteLive" localSheetId="4">Contribution!$J$3:$J$84</definedName>
    <definedName name="QuoteStatic" localSheetId="4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J22" i="29" l="1"/>
  <c r="J19" i="29"/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1" i="33"/>
  <c r="D76" i="33"/>
  <c r="D54" i="33"/>
  <c r="D65" i="33"/>
  <c r="D51" i="33"/>
  <c r="D48" i="33"/>
  <c r="D66" i="33"/>
  <c r="D75" i="33"/>
  <c r="D49" i="33"/>
  <c r="D72" i="33"/>
  <c r="D83" i="33"/>
  <c r="D70" i="33"/>
  <c r="D71" i="33"/>
  <c r="D56" i="33"/>
  <c r="D59" i="33"/>
  <c r="D62" i="33"/>
  <c r="D58" i="33"/>
  <c r="D63" i="33"/>
  <c r="D61" i="33"/>
  <c r="D46" i="33"/>
  <c r="D69" i="33"/>
  <c r="D84" i="33"/>
  <c r="D53" i="33"/>
  <c r="D50" i="33"/>
  <c r="D80" i="33"/>
  <c r="D73" i="33"/>
  <c r="D43" i="33"/>
  <c r="D79" i="33"/>
  <c r="D44" i="33"/>
  <c r="D82" i="33"/>
  <c r="D78" i="33"/>
  <c r="D68" i="33"/>
  <c r="D67" i="33"/>
  <c r="D45" i="33"/>
  <c r="D64" i="33"/>
  <c r="D42" i="33"/>
  <c r="D81" i="33"/>
  <c r="D60" i="33"/>
  <c r="D57" i="33"/>
  <c r="D77" i="33"/>
  <c r="D47" i="33"/>
  <c r="D52" i="33"/>
  <c r="D55" i="33"/>
  <c r="D74" i="33"/>
  <c r="C9" i="33" l="1"/>
  <c r="C12" i="33"/>
  <c r="C13" i="33"/>
  <c r="C8" i="33"/>
  <c r="C14" i="33"/>
  <c r="C11" i="33"/>
  <c r="C10" i="33"/>
  <c r="A7" i="32"/>
  <c r="A16" i="33"/>
  <c r="A3" i="32"/>
  <c r="A26" i="33"/>
  <c r="A16" i="32"/>
  <c r="A4" i="33"/>
  <c r="A26" i="32"/>
  <c r="E44" i="33"/>
  <c r="E46" i="33"/>
  <c r="E62" i="33"/>
  <c r="E43" i="33"/>
  <c r="E61" i="33"/>
  <c r="E82" i="33"/>
  <c r="E50" i="33"/>
  <c r="E69" i="33"/>
  <c r="E79" i="33"/>
  <c r="E74" i="33"/>
  <c r="E63" i="33"/>
  <c r="E65" i="33"/>
  <c r="E47" i="33"/>
  <c r="E83" i="33"/>
  <c r="E75" i="33"/>
  <c r="E80" i="33"/>
  <c r="E53" i="33"/>
  <c r="E71" i="33"/>
  <c r="E66" i="33"/>
  <c r="E77" i="33"/>
  <c r="E56" i="33"/>
  <c r="E72" i="33"/>
  <c r="E58" i="33"/>
  <c r="E64" i="33"/>
  <c r="E81" i="33"/>
  <c r="E42" i="33"/>
  <c r="E45" i="33"/>
  <c r="E76" i="33"/>
  <c r="E54" i="33"/>
  <c r="E78" i="33"/>
  <c r="E67" i="33"/>
  <c r="E52" i="33"/>
  <c r="E59" i="33"/>
  <c r="E49" i="33"/>
  <c r="E48" i="33"/>
  <c r="E51" i="33"/>
  <c r="E60" i="33"/>
  <c r="E57" i="33"/>
  <c r="E55" i="33"/>
  <c r="E84" i="33"/>
  <c r="E41" i="33"/>
  <c r="E73" i="33"/>
  <c r="E68" i="33"/>
  <c r="E70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D28" i="32"/>
  <c r="F10" i="34"/>
  <c r="D20" i="33"/>
  <c r="D11" i="33"/>
  <c r="O4" i="35"/>
  <c r="D7" i="33"/>
  <c r="D31" i="33"/>
  <c r="D21" i="33"/>
  <c r="D22" i="33"/>
  <c r="D19" i="33"/>
  <c r="O5" i="35"/>
  <c r="D12" i="33"/>
  <c r="D19" i="29"/>
  <c r="D24" i="33"/>
  <c r="D32" i="33"/>
  <c r="D17" i="33"/>
  <c r="O6" i="35"/>
  <c r="D28" i="33"/>
  <c r="D13" i="33"/>
  <c r="D8" i="33"/>
  <c r="D33" i="33"/>
  <c r="D9" i="33"/>
  <c r="B1" i="29"/>
  <c r="D16" i="33"/>
  <c r="D27" i="33"/>
  <c r="D14" i="33"/>
  <c r="D30" i="33"/>
  <c r="D6" i="33"/>
  <c r="D36" i="33"/>
  <c r="D38" i="33"/>
  <c r="D34" i="33"/>
  <c r="D10" i="33"/>
  <c r="D18" i="29"/>
  <c r="D25" i="33"/>
  <c r="E27" i="32"/>
  <c r="F35" i="32"/>
  <c r="F42" i="32"/>
  <c r="O3" i="35"/>
  <c r="D23" i="33"/>
  <c r="O2" i="35"/>
  <c r="D5" i="33"/>
  <c r="F48" i="32"/>
  <c r="D39" i="33"/>
  <c r="D29" i="33"/>
  <c r="D37" i="33"/>
  <c r="D3" i="33"/>
  <c r="E3" i="33" s="1"/>
  <c r="F47" i="32"/>
  <c r="E24" i="32"/>
  <c r="D40" i="33"/>
  <c r="D4" i="33"/>
  <c r="D35" i="33"/>
  <c r="D26" i="33"/>
  <c r="F43" i="32"/>
  <c r="E20" i="32"/>
  <c r="D15" i="33"/>
  <c r="D18" i="33"/>
  <c r="F39" i="32"/>
  <c r="E23" i="32"/>
  <c r="E22" i="32"/>
  <c r="F44" i="32"/>
  <c r="F46" i="32"/>
  <c r="E21" i="32"/>
  <c r="F41" i="32"/>
  <c r="E19" i="32"/>
  <c r="F36" i="32"/>
  <c r="F45" i="32"/>
  <c r="E14" i="32"/>
  <c r="F38" i="32"/>
  <c r="F37" i="32"/>
  <c r="F40" i="32"/>
  <c r="E12" i="32"/>
  <c r="F49" i="32"/>
  <c r="E13" i="32"/>
  <c r="F34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B40" i="32"/>
  <c r="F2" i="34"/>
  <c r="E19" i="33"/>
  <c r="E27" i="33"/>
  <c r="E6" i="33"/>
  <c r="F21" i="32"/>
  <c r="F20" i="32"/>
  <c r="B38" i="32"/>
  <c r="B34" i="32"/>
  <c r="B44" i="32"/>
  <c r="E28" i="33"/>
  <c r="F6" i="34"/>
  <c r="E15" i="33"/>
  <c r="E16" i="33"/>
  <c r="F27" i="32"/>
  <c r="D20" i="29"/>
  <c r="F2" i="32"/>
  <c r="E25" i="33"/>
  <c r="B36" i="32"/>
  <c r="A10" i="32"/>
  <c r="E17" i="33"/>
  <c r="B47" i="32"/>
  <c r="F25" i="32"/>
  <c r="B45" i="32"/>
  <c r="E18" i="33"/>
  <c r="B49" i="32"/>
  <c r="E22" i="33"/>
  <c r="F6" i="32"/>
  <c r="F3" i="34"/>
  <c r="E35" i="33"/>
  <c r="E24" i="33"/>
  <c r="B42" i="32"/>
  <c r="F5" i="34"/>
  <c r="F23" i="32"/>
  <c r="F14" i="32"/>
  <c r="E21" i="33"/>
  <c r="E26" i="33"/>
  <c r="F22" i="32"/>
  <c r="F19" i="32"/>
  <c r="E34" i="33"/>
  <c r="E7" i="33"/>
  <c r="E37" i="33"/>
  <c r="F15" i="32"/>
  <c r="B48" i="32"/>
  <c r="E39" i="33"/>
  <c r="E33" i="33"/>
  <c r="B35" i="32"/>
  <c r="E38" i="33"/>
  <c r="E36" i="33"/>
  <c r="E4" i="33"/>
  <c r="F24" i="32"/>
  <c r="F12" i="32"/>
  <c r="B39" i="32"/>
  <c r="E20" i="33"/>
  <c r="F4" i="34"/>
  <c r="F13" i="32"/>
  <c r="E29" i="33"/>
  <c r="B37" i="32"/>
  <c r="E30" i="33"/>
  <c r="F5" i="32"/>
  <c r="E40" i="33"/>
  <c r="B43" i="32"/>
  <c r="B46" i="32"/>
  <c r="D21" i="29"/>
  <c r="E23" i="33"/>
  <c r="E31" i="33"/>
  <c r="E32" i="33"/>
  <c r="E5" i="33"/>
  <c r="B41" i="32"/>
  <c r="D10" i="32" l="1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E10" i="32"/>
  <c r="C41" i="32"/>
  <c r="B20" i="32"/>
  <c r="C45" i="32"/>
  <c r="B19" i="32"/>
  <c r="C38" i="32"/>
  <c r="C39" i="32"/>
  <c r="B25" i="32"/>
  <c r="C40" i="32"/>
  <c r="B2" i="32"/>
  <c r="B21" i="32"/>
  <c r="B23" i="32"/>
  <c r="B14" i="32"/>
  <c r="C34" i="32"/>
  <c r="B22" i="32"/>
  <c r="C37" i="32"/>
  <c r="C42" i="32"/>
  <c r="B13" i="32"/>
  <c r="C36" i="32"/>
  <c r="C35" i="32"/>
  <c r="C49" i="32"/>
  <c r="C47" i="32"/>
  <c r="C44" i="32"/>
  <c r="B27" i="32"/>
  <c r="C48" i="32"/>
  <c r="C46" i="32"/>
  <c r="B12" i="32"/>
  <c r="B6" i="32"/>
  <c r="B15" i="32"/>
  <c r="B24" i="32"/>
  <c r="C43" i="32"/>
  <c r="N10" i="32" l="1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F10" i="32"/>
  <c r="A11" i="32"/>
  <c r="C5" i="35"/>
  <c r="E11" i="32"/>
  <c r="C22" i="32"/>
  <c r="C13" i="32"/>
  <c r="C14" i="32"/>
  <c r="F11" i="32"/>
  <c r="D5" i="35"/>
  <c r="D7" i="35"/>
  <c r="C25" i="32"/>
  <c r="C19" i="32"/>
  <c r="C20" i="32"/>
  <c r="C4" i="35"/>
  <c r="C23" i="32"/>
  <c r="C7" i="35"/>
  <c r="C27" i="32"/>
  <c r="C2" i="32"/>
  <c r="C6" i="32"/>
  <c r="C24" i="32"/>
  <c r="C15" i="32"/>
  <c r="D6" i="35"/>
  <c r="C21" i="32"/>
  <c r="C6" i="35"/>
  <c r="D4" i="35"/>
  <c r="C12" i="32"/>
  <c r="B10" i="32"/>
  <c r="C10" i="32" s="1"/>
  <c r="O10" i="32" l="1"/>
  <c r="P10" i="32"/>
  <c r="T10" i="32"/>
  <c r="O11" i="32"/>
  <c r="U11" i="32" s="1"/>
  <c r="N11" i="32"/>
  <c r="D11" i="32"/>
  <c r="U10" i="32"/>
  <c r="D2" i="33"/>
  <c r="B11" i="32"/>
  <c r="I26" i="35"/>
  <c r="I20" i="35"/>
  <c r="I30" i="35"/>
  <c r="I9" i="35"/>
  <c r="I3" i="35"/>
  <c r="I12" i="35"/>
  <c r="I43" i="35"/>
  <c r="I51" i="35"/>
  <c r="I5" i="35"/>
  <c r="I19" i="35"/>
  <c r="I2" i="35"/>
  <c r="I21" i="35"/>
  <c r="C11" i="32"/>
  <c r="I34" i="35"/>
  <c r="I25" i="35"/>
  <c r="I11" i="35"/>
  <c r="I35" i="35"/>
  <c r="I16" i="35"/>
  <c r="I14" i="35"/>
  <c r="I41" i="35"/>
  <c r="I33" i="35"/>
  <c r="I13" i="35"/>
  <c r="I48" i="35"/>
  <c r="I17" i="35"/>
  <c r="I39" i="35"/>
  <c r="I46" i="35"/>
  <c r="I42" i="35"/>
  <c r="I44" i="35"/>
  <c r="I27" i="35"/>
  <c r="I24" i="35"/>
  <c r="I50" i="35"/>
  <c r="I15" i="35"/>
  <c r="I32" i="35"/>
  <c r="I40" i="35"/>
  <c r="I45" i="35"/>
  <c r="I31" i="35"/>
  <c r="I10" i="35"/>
  <c r="I22" i="35"/>
  <c r="I8" i="35"/>
  <c r="I36" i="35"/>
  <c r="I28" i="35"/>
  <c r="I4" i="35"/>
  <c r="I37" i="35"/>
  <c r="I23" i="35"/>
  <c r="I49" i="35"/>
  <c r="I18" i="35"/>
  <c r="I6" i="35"/>
  <c r="I38" i="35"/>
  <c r="I47" i="35"/>
  <c r="I29" i="35"/>
  <c r="T11" i="32" l="1"/>
  <c r="P11" i="32"/>
  <c r="A3" i="35"/>
  <c r="C3" i="35"/>
  <c r="E2" i="33"/>
  <c r="D40" i="29"/>
  <c r="D34" i="29"/>
  <c r="D38" i="29"/>
  <c r="D3" i="35"/>
  <c r="D36" i="29"/>
  <c r="C43" i="29"/>
  <c r="D41" i="29"/>
  <c r="J21" i="35"/>
  <c r="H21" i="35" s="1"/>
  <c r="G51" i="35"/>
  <c r="G25" i="35"/>
  <c r="G50" i="35"/>
  <c r="G14" i="35"/>
  <c r="G4" i="35"/>
  <c r="G34" i="35"/>
  <c r="J37" i="35"/>
  <c r="H37" i="35" s="1"/>
  <c r="G13" i="35"/>
  <c r="G49" i="35"/>
  <c r="J3" i="35"/>
  <c r="H3" i="35" s="1"/>
  <c r="J19" i="35"/>
  <c r="H19" i="35" s="1"/>
  <c r="J50" i="35"/>
  <c r="H50" i="35" s="1"/>
  <c r="J46" i="35"/>
  <c r="H46" i="35" s="1"/>
  <c r="J12" i="35"/>
  <c r="H12" i="35" s="1"/>
  <c r="G9" i="35"/>
  <c r="J15" i="35"/>
  <c r="H15" i="35" s="1"/>
  <c r="G16" i="35"/>
  <c r="J48" i="35"/>
  <c r="H48" i="35" s="1"/>
  <c r="G48" i="35"/>
  <c r="G29" i="35"/>
  <c r="G2" i="35"/>
  <c r="G44" i="35"/>
  <c r="G20" i="35"/>
  <c r="G31" i="35"/>
  <c r="J40" i="35"/>
  <c r="H40" i="35" s="1"/>
  <c r="G42" i="35"/>
  <c r="G37" i="35"/>
  <c r="G18" i="35"/>
  <c r="J23" i="35"/>
  <c r="H23" i="35" s="1"/>
  <c r="G12" i="35"/>
  <c r="J20" i="35"/>
  <c r="H20" i="35" s="1"/>
  <c r="J30" i="35"/>
  <c r="H30" i="35" s="1"/>
  <c r="G30" i="35"/>
  <c r="J47" i="35"/>
  <c r="H47" i="35" s="1"/>
  <c r="G38" i="35"/>
  <c r="J16" i="35"/>
  <c r="H16" i="35" s="1"/>
  <c r="J43" i="35"/>
  <c r="H43" i="35" s="1"/>
  <c r="J11" i="35"/>
  <c r="H11" i="35" s="1"/>
  <c r="J9" i="35"/>
  <c r="H9" i="35" s="1"/>
  <c r="G21" i="35"/>
  <c r="G40" i="35"/>
  <c r="J32" i="35"/>
  <c r="H32" i="35" s="1"/>
  <c r="G35" i="35"/>
  <c r="G36" i="35"/>
  <c r="G27" i="35"/>
  <c r="J6" i="35"/>
  <c r="H6" i="35" s="1"/>
  <c r="J8" i="35"/>
  <c r="H8" i="35" s="1"/>
  <c r="G6" i="35"/>
  <c r="J45" i="35"/>
  <c r="H45" i="35" s="1"/>
  <c r="J28" i="35"/>
  <c r="H28" i="35" s="1"/>
  <c r="G33" i="35"/>
  <c r="J33" i="35"/>
  <c r="H33" i="35" s="1"/>
  <c r="J4" i="35"/>
  <c r="H4" i="35" s="1"/>
  <c r="J35" i="35"/>
  <c r="H35" i="35" s="1"/>
  <c r="J29" i="35"/>
  <c r="H29" i="35" s="1"/>
  <c r="G10" i="35"/>
  <c r="G22" i="35"/>
  <c r="J5" i="35"/>
  <c r="H5" i="35" s="1"/>
  <c r="G43" i="35"/>
  <c r="J44" i="35"/>
  <c r="H44" i="35" s="1"/>
  <c r="J22" i="35"/>
  <c r="H22" i="35" s="1"/>
  <c r="J18" i="35"/>
  <c r="H18" i="35" s="1"/>
  <c r="J34" i="35"/>
  <c r="H34" i="35" s="1"/>
  <c r="G23" i="35"/>
  <c r="G32" i="35"/>
  <c r="G47" i="35"/>
  <c r="J42" i="35"/>
  <c r="H42" i="35" s="1"/>
  <c r="G15" i="35"/>
  <c r="G11" i="35"/>
  <c r="G5" i="35"/>
  <c r="G24" i="35"/>
  <c r="G39" i="35"/>
  <c r="J39" i="35"/>
  <c r="H39" i="35" s="1"/>
  <c r="J26" i="35"/>
  <c r="H26" i="35" s="1"/>
  <c r="J38" i="35"/>
  <c r="H38" i="35" s="1"/>
  <c r="J13" i="35"/>
  <c r="H13" i="35" s="1"/>
  <c r="J41" i="35"/>
  <c r="H41" i="35" s="1"/>
  <c r="G41" i="35"/>
  <c r="G28" i="35"/>
  <c r="G3" i="35"/>
  <c r="G8" i="35"/>
  <c r="J17" i="35"/>
  <c r="H17" i="35" s="1"/>
  <c r="G46" i="35"/>
  <c r="J10" i="35"/>
  <c r="H10" i="35" s="1"/>
  <c r="G19" i="35"/>
  <c r="J36" i="35"/>
  <c r="H36" i="35" s="1"/>
  <c r="J24" i="35"/>
  <c r="H24" i="35" s="1"/>
  <c r="J14" i="35"/>
  <c r="H14" i="35" s="1"/>
  <c r="J25" i="35"/>
  <c r="H25" i="35" s="1"/>
  <c r="J51" i="35"/>
  <c r="H51" i="35" s="1"/>
  <c r="G17" i="35"/>
  <c r="G26" i="35"/>
  <c r="J31" i="35"/>
  <c r="H31" i="35" s="1"/>
  <c r="J2" i="35"/>
  <c r="H2" i="35" s="1"/>
  <c r="G45" i="35"/>
  <c r="J49" i="35"/>
  <c r="H49" i="35" s="1"/>
  <c r="J27" i="35"/>
  <c r="H27" i="35" s="1"/>
  <c r="C44" i="29"/>
  <c r="J20" i="29" l="1"/>
  <c r="J21" i="29"/>
  <c r="H22" i="32"/>
  <c r="G10" i="32"/>
  <c r="G7" i="32"/>
  <c r="H25" i="32"/>
  <c r="G24" i="32"/>
  <c r="H11" i="32"/>
  <c r="G2" i="34"/>
  <c r="H15" i="32"/>
  <c r="B7" i="35"/>
  <c r="G19" i="32"/>
  <c r="L48" i="32"/>
  <c r="G6" i="34"/>
  <c r="G11" i="32"/>
  <c r="H21" i="32"/>
  <c r="L43" i="32"/>
  <c r="L35" i="32"/>
  <c r="G26" i="32"/>
  <c r="H12" i="32"/>
  <c r="G5" i="34"/>
  <c r="K6" i="35"/>
  <c r="H27" i="32"/>
  <c r="G22" i="32"/>
  <c r="G25" i="32"/>
  <c r="L42" i="32"/>
  <c r="L39" i="32"/>
  <c r="B5" i="35"/>
  <c r="L41" i="32"/>
  <c r="L5" i="34"/>
  <c r="K2" i="35"/>
  <c r="G27" i="32"/>
  <c r="L49" i="32"/>
  <c r="H2" i="32"/>
  <c r="L37" i="32"/>
  <c r="G21" i="32"/>
  <c r="L34" i="32"/>
  <c r="K5" i="34"/>
  <c r="K5" i="35"/>
  <c r="L40" i="32"/>
  <c r="B3" i="35"/>
  <c r="K3" i="34"/>
  <c r="K2" i="34"/>
  <c r="L3" i="34"/>
  <c r="K4" i="35"/>
  <c r="E2" i="35" a="1"/>
  <c r="G5" i="32"/>
  <c r="H23" i="32"/>
  <c r="G23" i="32"/>
  <c r="K4" i="34"/>
  <c r="L38" i="32"/>
  <c r="G3" i="32"/>
  <c r="L44" i="32"/>
  <c r="G6" i="32"/>
  <c r="G14" i="32"/>
  <c r="K3" i="35"/>
  <c r="L47" i="32"/>
  <c r="L36" i="32"/>
  <c r="L6" i="34"/>
  <c r="H20" i="32"/>
  <c r="L46" i="32"/>
  <c r="B6" i="35"/>
  <c r="H24" i="32"/>
  <c r="H6" i="32"/>
  <c r="G13" i="32"/>
  <c r="G20" i="32"/>
  <c r="L2" i="34"/>
  <c r="H13" i="32"/>
  <c r="B4" i="35"/>
  <c r="H10" i="32"/>
  <c r="H19" i="32"/>
  <c r="H14" i="32"/>
  <c r="L4" i="34"/>
  <c r="G2" i="32"/>
  <c r="K6" i="34"/>
  <c r="G12" i="32"/>
  <c r="G3" i="34"/>
  <c r="G16" i="32"/>
  <c r="G15" i="32"/>
  <c r="G4" i="34"/>
  <c r="L45" i="32"/>
  <c r="E3" i="32"/>
  <c r="E7" i="32"/>
  <c r="E26" i="32"/>
  <c r="E16" i="32"/>
  <c r="F3" i="32"/>
  <c r="F7" i="32"/>
  <c r="F26" i="32"/>
  <c r="F16" i="32"/>
  <c r="B3" i="32"/>
  <c r="C3" i="32" s="1"/>
  <c r="H3" i="32" s="1"/>
  <c r="B7" i="32"/>
  <c r="C7" i="32" s="1"/>
  <c r="H7" i="32" s="1"/>
  <c r="B26" i="32"/>
  <c r="C26" i="32" s="1"/>
  <c r="H26" i="32" s="1"/>
  <c r="B16" i="32"/>
  <c r="C16" i="32" s="1"/>
  <c r="H16" i="32" s="1"/>
  <c r="O16" i="32" l="1"/>
  <c r="O26" i="32"/>
  <c r="O7" i="32"/>
  <c r="O3" i="32"/>
  <c r="E4" i="32"/>
  <c r="N16" i="32"/>
  <c r="N26" i="32"/>
  <c r="N7" i="32"/>
  <c r="N3" i="32"/>
  <c r="I15" i="32"/>
  <c r="I16" i="32"/>
  <c r="J16" i="32" s="1"/>
  <c r="I12" i="32"/>
  <c r="I2" i="32"/>
  <c r="I20" i="32"/>
  <c r="I13" i="32"/>
  <c r="I14" i="32"/>
  <c r="I6" i="32"/>
  <c r="I3" i="32"/>
  <c r="J3" i="32" s="1"/>
  <c r="I23" i="32"/>
  <c r="E100" i="35"/>
  <c r="E65" i="35"/>
  <c r="E98" i="35"/>
  <c r="E54" i="35"/>
  <c r="E106" i="35"/>
  <c r="E60" i="35"/>
  <c r="E111" i="35"/>
  <c r="E35" i="35"/>
  <c r="E48" i="35"/>
  <c r="E82" i="35"/>
  <c r="E10" i="35"/>
  <c r="E6" i="35"/>
  <c r="E27" i="35"/>
  <c r="E81" i="35"/>
  <c r="E91" i="35"/>
  <c r="E34" i="35"/>
  <c r="E99" i="35"/>
  <c r="E26" i="35"/>
  <c r="E71" i="35"/>
  <c r="E42" i="35"/>
  <c r="E37" i="35"/>
  <c r="E50" i="35"/>
  <c r="E80" i="35"/>
  <c r="E119" i="35"/>
  <c r="E114" i="35"/>
  <c r="E76" i="35"/>
  <c r="E121" i="35"/>
  <c r="E112" i="35"/>
  <c r="E33" i="35"/>
  <c r="E63" i="35"/>
  <c r="E117" i="35"/>
  <c r="E93" i="35"/>
  <c r="E59" i="35"/>
  <c r="E94" i="35"/>
  <c r="E17" i="35"/>
  <c r="E44" i="35"/>
  <c r="E109" i="35"/>
  <c r="E62" i="35"/>
  <c r="E107" i="35"/>
  <c r="E46" i="35"/>
  <c r="E113" i="35"/>
  <c r="E122" i="35"/>
  <c r="E73" i="35"/>
  <c r="E55" i="35"/>
  <c r="E14" i="35"/>
  <c r="E8" i="35"/>
  <c r="E57" i="35"/>
  <c r="E36" i="35"/>
  <c r="E83" i="35"/>
  <c r="E9" i="35"/>
  <c r="E20" i="35"/>
  <c r="E7" i="35"/>
  <c r="E24" i="35"/>
  <c r="E115" i="35"/>
  <c r="E45" i="35"/>
  <c r="E90" i="35"/>
  <c r="E118" i="35"/>
  <c r="E23" i="35"/>
  <c r="E86" i="35"/>
  <c r="E101" i="35"/>
  <c r="E84" i="35"/>
  <c r="E32" i="35"/>
  <c r="E74" i="35"/>
  <c r="E72" i="35"/>
  <c r="E85" i="35"/>
  <c r="E11" i="35"/>
  <c r="E102" i="35"/>
  <c r="E41" i="35"/>
  <c r="E28" i="35"/>
  <c r="E2" i="35"/>
  <c r="E30" i="35"/>
  <c r="E13" i="35"/>
  <c r="E3" i="35"/>
  <c r="E25" i="35"/>
  <c r="E31" i="35"/>
  <c r="E68" i="35"/>
  <c r="E92" i="35"/>
  <c r="E51" i="35"/>
  <c r="E79" i="35"/>
  <c r="E108" i="35"/>
  <c r="E96" i="35"/>
  <c r="E124" i="35"/>
  <c r="E77" i="35"/>
  <c r="E126" i="35"/>
  <c r="E104" i="35"/>
  <c r="E95" i="35"/>
  <c r="E15" i="35"/>
  <c r="E38" i="35"/>
  <c r="E4" i="35"/>
  <c r="E18" i="35"/>
  <c r="E127" i="35"/>
  <c r="E116" i="35"/>
  <c r="E19" i="35"/>
  <c r="E75" i="35"/>
  <c r="E47" i="35"/>
  <c r="E49" i="35"/>
  <c r="E12" i="35"/>
  <c r="E103" i="35"/>
  <c r="E58" i="35"/>
  <c r="E22" i="35"/>
  <c r="E110" i="35"/>
  <c r="E97" i="35"/>
  <c r="E53" i="35"/>
  <c r="E52" i="35"/>
  <c r="E21" i="35"/>
  <c r="E16" i="35"/>
  <c r="E56" i="35"/>
  <c r="E88" i="35"/>
  <c r="E123" i="35"/>
  <c r="E29" i="35"/>
  <c r="E5" i="35"/>
  <c r="E40" i="35"/>
  <c r="E39" i="35"/>
  <c r="E87" i="35"/>
  <c r="E43" i="35"/>
  <c r="E125" i="35"/>
  <c r="E67" i="35"/>
  <c r="E120" i="35"/>
  <c r="E105" i="35"/>
  <c r="E69" i="35"/>
  <c r="E89" i="35"/>
  <c r="E78" i="35"/>
  <c r="E61" i="35"/>
  <c r="E70" i="35"/>
  <c r="E66" i="35"/>
  <c r="E64" i="35"/>
  <c r="I21" i="32"/>
  <c r="I27" i="32"/>
  <c r="I25" i="32"/>
  <c r="I22" i="32"/>
  <c r="I26" i="32"/>
  <c r="J26" i="32" s="1"/>
  <c r="I11" i="32"/>
  <c r="I19" i="32"/>
  <c r="I24" i="32"/>
  <c r="I7" i="32"/>
  <c r="J7" i="32" s="1"/>
  <c r="I10" i="32"/>
  <c r="H31" i="32"/>
  <c r="I31" i="32"/>
  <c r="B4" i="32"/>
  <c r="C4" i="32" s="1"/>
  <c r="H4" i="32" s="1"/>
  <c r="I32" i="32" l="1"/>
  <c r="H32" i="32"/>
  <c r="J11" i="32"/>
  <c r="J14" i="32"/>
  <c r="J13" i="32"/>
  <c r="J22" i="32"/>
  <c r="J20" i="32"/>
  <c r="N4" i="32"/>
  <c r="J10" i="32"/>
  <c r="J27" i="32"/>
  <c r="G4" i="32"/>
  <c r="I4" i="32" s="1"/>
  <c r="J12" i="32"/>
  <c r="U3" i="32"/>
  <c r="P3" i="32"/>
  <c r="T3" i="32"/>
  <c r="J21" i="32"/>
  <c r="J23" i="32"/>
  <c r="T7" i="32"/>
  <c r="P7" i="32"/>
  <c r="U7" i="32"/>
  <c r="J24" i="32"/>
  <c r="U26" i="32"/>
  <c r="P26" i="32"/>
  <c r="T26" i="32"/>
  <c r="J19" i="32"/>
  <c r="U16" i="32"/>
  <c r="T16" i="32"/>
  <c r="P16" i="32"/>
  <c r="Z9" i="32" a="1"/>
  <c r="AD9" i="32" a="1"/>
  <c r="Z18" i="32" a="1"/>
  <c r="AD18" i="32" a="1"/>
  <c r="X9" i="32" a="1"/>
  <c r="Y18" i="32" a="1"/>
  <c r="K11" i="32"/>
  <c r="L11" i="32" s="1"/>
  <c r="K14" i="32"/>
  <c r="L14" i="32" s="1"/>
  <c r="K13" i="32"/>
  <c r="L13" i="32" s="1"/>
  <c r="K10" i="32"/>
  <c r="L10" i="32" s="1"/>
  <c r="K12" i="32"/>
  <c r="L12" i="32" s="1"/>
  <c r="X18" i="32" a="1"/>
  <c r="Y9" i="32" a="1"/>
  <c r="K22" i="32"/>
  <c r="L22" i="32" s="1"/>
  <c r="K20" i="32"/>
  <c r="L20" i="32" s="1"/>
  <c r="K21" i="32"/>
  <c r="L21" i="32" s="1"/>
  <c r="K23" i="32"/>
  <c r="L23" i="32" s="1"/>
  <c r="K24" i="32"/>
  <c r="L24" i="32" s="1"/>
  <c r="K19" i="32"/>
  <c r="K27" i="32"/>
  <c r="L19" i="32"/>
  <c r="K26" i="32" l="1"/>
  <c r="Q31" i="32" s="1"/>
  <c r="P31" i="32"/>
  <c r="Y9" i="32"/>
  <c r="Y11" i="32"/>
  <c r="Y10" i="32"/>
  <c r="X20" i="32"/>
  <c r="X18" i="32"/>
  <c r="X19" i="32"/>
  <c r="Y20" i="32"/>
  <c r="Y18" i="32"/>
  <c r="Y19" i="32"/>
  <c r="X11" i="32"/>
  <c r="X9" i="32"/>
  <c r="X10" i="32"/>
  <c r="AD18" i="32"/>
  <c r="AD19" i="32"/>
  <c r="AD20" i="32"/>
  <c r="Z19" i="32"/>
  <c r="Z20" i="32"/>
  <c r="Z18" i="32"/>
  <c r="AD9" i="32"/>
  <c r="AD10" i="32"/>
  <c r="AD11" i="32"/>
  <c r="Z10" i="32"/>
  <c r="Z11" i="32"/>
  <c r="Z9" i="32"/>
  <c r="P4" i="32"/>
  <c r="T4" i="32"/>
  <c r="U4" i="32"/>
  <c r="J4" i="32"/>
  <c r="K4" i="32"/>
  <c r="K3" i="32" l="1"/>
  <c r="N31" i="32"/>
  <c r="AF18" i="32" a="1"/>
  <c r="AF9" i="32" a="1"/>
  <c r="AH9" i="32" l="1"/>
  <c r="AH10" i="32"/>
  <c r="AG10" i="32"/>
  <c r="AH11" i="32"/>
  <c r="AF9" i="32"/>
  <c r="AF10" i="32"/>
  <c r="AF11" i="32"/>
  <c r="AG9" i="32"/>
  <c r="AG11" i="32"/>
  <c r="AF19" i="32"/>
  <c r="AG18" i="32"/>
  <c r="AF20" i="32"/>
  <c r="AH18" i="32"/>
  <c r="AG20" i="32"/>
  <c r="AH20" i="32"/>
  <c r="AF18" i="32"/>
  <c r="AG19" i="32"/>
  <c r="AH19" i="32"/>
  <c r="AB18" i="32" l="1" a="1"/>
  <c r="AB19" i="32" s="1"/>
  <c r="U31" i="32" s="1"/>
  <c r="AB9" i="32" a="1"/>
  <c r="AB20" i="32" l="1"/>
  <c r="U32" i="32" s="1"/>
  <c r="AB18" i="32"/>
  <c r="AB11" i="32"/>
  <c r="T32" i="32" s="1"/>
  <c r="AB9" i="32"/>
  <c r="AB10" i="32"/>
  <c r="T31" i="32" s="1"/>
  <c r="U30" i="32"/>
  <c r="AJ18" i="32" a="1"/>
  <c r="AJ19" i="32" l="1"/>
  <c r="AJ20" i="32"/>
  <c r="AJ18" i="32"/>
  <c r="U39" i="32"/>
  <c r="P39" i="32" s="1"/>
  <c r="I39" i="32" s="1"/>
  <c r="J20" i="33" s="1"/>
  <c r="U34" i="32"/>
  <c r="P34" i="32" s="1"/>
  <c r="I34" i="32" s="1"/>
  <c r="J15" i="33" s="1"/>
  <c r="U35" i="32"/>
  <c r="P35" i="32" s="1"/>
  <c r="I35" i="32" s="1"/>
  <c r="J16" i="33" s="1"/>
  <c r="U38" i="32"/>
  <c r="P38" i="32" s="1"/>
  <c r="I38" i="32" s="1"/>
  <c r="J19" i="33" s="1"/>
  <c r="U43" i="32"/>
  <c r="P43" i="32" s="1"/>
  <c r="I43" i="32" s="1"/>
  <c r="J24" i="33" s="1"/>
  <c r="U42" i="32"/>
  <c r="P42" i="32" s="1"/>
  <c r="I42" i="32" s="1"/>
  <c r="J23" i="33" s="1"/>
  <c r="U37" i="32"/>
  <c r="P37" i="32" s="1"/>
  <c r="I37" i="32" s="1"/>
  <c r="J18" i="33" s="1"/>
  <c r="U40" i="32"/>
  <c r="P40" i="32" s="1"/>
  <c r="I40" i="32" s="1"/>
  <c r="J21" i="33" s="1"/>
  <c r="U36" i="32"/>
  <c r="P36" i="32" s="1"/>
  <c r="I36" i="32" s="1"/>
  <c r="J17" i="33" s="1"/>
  <c r="U41" i="32"/>
  <c r="P41" i="32" s="1"/>
  <c r="I41" i="32" s="1"/>
  <c r="J22" i="33" s="1"/>
  <c r="T30" i="32"/>
  <c r="AJ9" i="32" a="1"/>
  <c r="AJ10" i="32" l="1"/>
  <c r="AJ11" i="32"/>
  <c r="AJ9" i="32"/>
  <c r="T35" i="32"/>
  <c r="O35" i="32" s="1"/>
  <c r="H35" i="32" s="1"/>
  <c r="J9" i="33" s="1"/>
  <c r="T37" i="32"/>
  <c r="O37" i="32" s="1"/>
  <c r="H37" i="32" s="1"/>
  <c r="J11" i="33" s="1"/>
  <c r="T39" i="32"/>
  <c r="O39" i="32" s="1"/>
  <c r="H39" i="32" s="1"/>
  <c r="J13" i="33" s="1"/>
  <c r="T34" i="32"/>
  <c r="O34" i="32" s="1"/>
  <c r="H34" i="32" s="1"/>
  <c r="J8" i="33" s="1"/>
  <c r="T38" i="32"/>
  <c r="O38" i="32" s="1"/>
  <c r="H38" i="32" s="1"/>
  <c r="J12" i="33" s="1"/>
  <c r="T40" i="32"/>
  <c r="O40" i="32" s="1"/>
  <c r="H40" i="32" s="1"/>
  <c r="J14" i="33" s="1"/>
  <c r="T36" i="32"/>
  <c r="O36" i="32" s="1"/>
  <c r="H36" i="32" s="1"/>
  <c r="J10" i="33" s="1"/>
  <c r="N3" i="33" a="1"/>
  <c r="N17" i="33"/>
  <c r="O17" i="33"/>
  <c r="N9" i="33"/>
  <c r="O9" i="33"/>
  <c r="N24" i="33"/>
  <c r="O24" i="33"/>
  <c r="N16" i="33"/>
  <c r="O16" i="33"/>
  <c r="N8" i="33"/>
  <c r="O8" i="33"/>
  <c r="N23" i="33"/>
  <c r="O23" i="33"/>
  <c r="N15" i="33"/>
  <c r="O15" i="33"/>
  <c r="N18" i="33"/>
  <c r="O18" i="33"/>
  <c r="N19" i="33"/>
  <c r="O19" i="33"/>
  <c r="N20" i="33"/>
  <c r="O20" i="33"/>
  <c r="N21" i="33"/>
  <c r="O21" i="33"/>
  <c r="N22" i="33"/>
  <c r="O22" i="33"/>
  <c r="P15" i="33"/>
  <c r="N14" i="33"/>
  <c r="O14" i="33"/>
  <c r="N13" i="33"/>
  <c r="O13" i="33"/>
  <c r="N12" i="33"/>
  <c r="O12" i="33"/>
  <c r="N10" i="33"/>
  <c r="O10" i="33"/>
  <c r="N11" i="33"/>
  <c r="O11" i="33"/>
  <c r="P8" i="33"/>
  <c r="G31" i="32"/>
  <c r="K18" i="32"/>
  <c r="L27" i="32"/>
  <c r="L4" i="32"/>
  <c r="D43" i="29"/>
  <c r="K9" i="32"/>
  <c r="L3" i="32"/>
  <c r="D44" i="29"/>
  <c r="L26" i="32"/>
  <c r="J31" i="32"/>
  <c r="G32" i="32"/>
  <c r="Q32" i="32"/>
  <c r="J32" i="32"/>
  <c r="O31" i="32"/>
  <c r="N32" i="32"/>
  <c r="L9" i="32"/>
  <c r="O32" i="32"/>
  <c r="L18" i="32"/>
  <c r="P32" i="32"/>
  <c r="Q37" i="32"/>
  <c r="J37" i="32" s="1"/>
  <c r="J28" i="33" s="1"/>
  <c r="Q48" i="32"/>
  <c r="J48" i="32"/>
  <c r="J39" i="33" s="1"/>
  <c r="Q39" i="32"/>
  <c r="J39" i="32" s="1"/>
  <c r="J30" i="33" s="1"/>
  <c r="Q38" i="32"/>
  <c r="J38" i="32" s="1"/>
  <c r="J29" i="33" s="1"/>
  <c r="Q41" i="32"/>
  <c r="J41" i="32" s="1"/>
  <c r="J32" i="33" s="1"/>
  <c r="Q42" i="32"/>
  <c r="J42" i="32" s="1"/>
  <c r="J33" i="33" s="1"/>
  <c r="N33" i="33" s="1"/>
  <c r="Q34" i="32"/>
  <c r="J34" i="32" s="1"/>
  <c r="J25" i="33" s="1"/>
  <c r="Q36" i="32"/>
  <c r="J36" i="32" s="1"/>
  <c r="J27" i="33" s="1"/>
  <c r="Q45" i="32"/>
  <c r="J45" i="32" s="1"/>
  <c r="J36" i="33" s="1"/>
  <c r="Q35" i="32"/>
  <c r="J35" i="32" s="1"/>
  <c r="J26" i="33" s="1"/>
  <c r="Q40" i="32"/>
  <c r="J40" i="32" s="1"/>
  <c r="J31" i="33" s="1"/>
  <c r="Q46" i="32"/>
  <c r="J46" i="32" s="1"/>
  <c r="J37" i="33" s="1"/>
  <c r="Q43" i="32"/>
  <c r="J43" i="32"/>
  <c r="J34" i="33" s="1"/>
  <c r="Q49" i="32"/>
  <c r="J49" i="32" s="1"/>
  <c r="J40" i="33" s="1"/>
  <c r="Q44" i="32"/>
  <c r="J44" i="32" s="1"/>
  <c r="J35" i="33" s="1"/>
  <c r="Q47" i="32"/>
  <c r="J47" i="32" s="1"/>
  <c r="J38" i="33" s="1"/>
  <c r="N36" i="32"/>
  <c r="G36" i="32" s="1"/>
  <c r="J5" i="33" s="1"/>
  <c r="N38" i="32"/>
  <c r="G38" i="32" s="1"/>
  <c r="J7" i="33" s="1"/>
  <c r="N34" i="32"/>
  <c r="G34" i="32" s="1"/>
  <c r="J3" i="33" s="1"/>
  <c r="N37" i="32"/>
  <c r="G37" i="32" s="1"/>
  <c r="J6" i="33" s="1"/>
  <c r="N35" i="32"/>
  <c r="G35" i="32" s="1"/>
  <c r="J4" i="33" s="1"/>
  <c r="O33" i="33"/>
  <c r="N25" i="33"/>
  <c r="O25" i="33"/>
  <c r="N40" i="33"/>
  <c r="O40" i="33"/>
  <c r="N32" i="33"/>
  <c r="O32" i="33"/>
  <c r="N39" i="33"/>
  <c r="O39" i="33"/>
  <c r="N31" i="33"/>
  <c r="O31" i="33"/>
  <c r="N7" i="33"/>
  <c r="O7" i="33"/>
  <c r="N38" i="33"/>
  <c r="O38" i="33"/>
  <c r="N30" i="33"/>
  <c r="O30" i="33"/>
  <c r="N6" i="33"/>
  <c r="O6" i="33"/>
  <c r="N37" i="33"/>
  <c r="O37" i="33"/>
  <c r="N29" i="33"/>
  <c r="O29" i="33"/>
  <c r="N5" i="33"/>
  <c r="O5" i="33"/>
  <c r="N36" i="33"/>
  <c r="O36" i="33"/>
  <c r="N28" i="33"/>
  <c r="O28" i="33"/>
  <c r="N4" i="33"/>
  <c r="O4" i="33"/>
  <c r="N35" i="33"/>
  <c r="O35" i="33"/>
  <c r="N27" i="33"/>
  <c r="O27" i="33"/>
  <c r="N3" i="33"/>
  <c r="O3" i="33"/>
  <c r="N34" i="33"/>
  <c r="O34" i="33"/>
  <c r="N26" i="33"/>
  <c r="O26" i="33"/>
  <c r="P25" i="33"/>
  <c r="L4" i="35"/>
  <c r="M4" i="35"/>
  <c r="P4" i="35"/>
  <c r="L2" i="35"/>
  <c r="M2" i="35"/>
  <c r="P2" i="35"/>
  <c r="L5" i="35"/>
  <c r="M5" i="35"/>
  <c r="P5" i="35"/>
  <c r="L3" i="35"/>
  <c r="M3" i="35"/>
  <c r="P3" i="35"/>
  <c r="L6" i="35"/>
  <c r="M6" i="35"/>
  <c r="P6" i="35"/>
  <c r="P2" i="33"/>
  <c r="L29" i="35"/>
  <c r="M29" i="35"/>
  <c r="L11" i="35"/>
  <c r="M11" i="35"/>
  <c r="L41" i="35"/>
  <c r="M41" i="35"/>
  <c r="L21" i="35"/>
  <c r="M21" i="35"/>
  <c r="L30" i="35"/>
  <c r="M30" i="35"/>
  <c r="L23" i="35"/>
  <c r="M23" i="35"/>
  <c r="L14" i="35"/>
  <c r="M14" i="35"/>
  <c r="L46" i="35"/>
  <c r="M46" i="35"/>
  <c r="L20" i="35"/>
  <c r="M20" i="35"/>
  <c r="L50" i="35"/>
  <c r="M50" i="35"/>
  <c r="L31" i="35"/>
  <c r="M31" i="35"/>
  <c r="L16" i="35"/>
  <c r="M16" i="35"/>
  <c r="L28" i="35"/>
  <c r="M28" i="35"/>
  <c r="L45" i="35"/>
  <c r="M45" i="35"/>
  <c r="L48" i="35"/>
  <c r="M48" i="35"/>
  <c r="L18" i="35"/>
  <c r="M18" i="35"/>
  <c r="L39" i="35"/>
  <c r="M39" i="35"/>
  <c r="L49" i="35"/>
  <c r="M49" i="35"/>
  <c r="L8" i="35"/>
  <c r="M8" i="35"/>
  <c r="N48" i="35"/>
  <c r="J81" i="33" s="1"/>
  <c r="N81" i="33" s="1"/>
  <c r="N45" i="35"/>
  <c r="J78" i="33" s="1"/>
  <c r="N78" i="33" s="1"/>
  <c r="N50" i="35"/>
  <c r="J83" i="33" s="1"/>
  <c r="N83" i="33" s="1"/>
  <c r="N29" i="35"/>
  <c r="J62" i="33" s="1"/>
  <c r="N62" i="33" s="1"/>
  <c r="N18" i="35"/>
  <c r="J51" i="33" s="1"/>
  <c r="N51" i="33" s="1"/>
  <c r="N8" i="35"/>
  <c r="J41" i="33" s="1"/>
  <c r="N41" i="33" s="1"/>
  <c r="N14" i="35"/>
  <c r="J47" i="33" s="1"/>
  <c r="N47" i="33" s="1"/>
  <c r="N11" i="35"/>
  <c r="J44" i="33" s="1"/>
  <c r="N44" i="33" s="1"/>
  <c r="N21" i="35"/>
  <c r="J54" i="33" s="1"/>
  <c r="N54" i="33" s="1"/>
  <c r="N31" i="35"/>
  <c r="J64" i="33" s="1"/>
  <c r="N64" i="33" s="1"/>
  <c r="N41" i="35"/>
  <c r="J74" i="33" s="1"/>
  <c r="N74" i="33" s="1"/>
  <c r="N30" i="35"/>
  <c r="J63" i="33" s="1"/>
  <c r="N63" i="33" s="1"/>
  <c r="N20" i="35"/>
  <c r="J53" i="33" s="1"/>
  <c r="N53" i="33" s="1"/>
  <c r="N23" i="35"/>
  <c r="J56" i="33" s="1"/>
  <c r="N56" i="33" s="1"/>
  <c r="N39" i="35"/>
  <c r="J72" i="33" s="1"/>
  <c r="N72" i="33" s="1"/>
  <c r="N49" i="35"/>
  <c r="J82" i="33" s="1"/>
  <c r="N82" i="33" s="1"/>
  <c r="N16" i="35"/>
  <c r="J49" i="33" s="1"/>
  <c r="N49" i="33" s="1"/>
  <c r="N46" i="35"/>
  <c r="J79" i="33" s="1"/>
  <c r="N79" i="33" s="1"/>
  <c r="N28" i="35"/>
  <c r="J61" i="33" s="1"/>
  <c r="N61" i="33" s="1"/>
  <c r="O56" i="33"/>
  <c r="O78" i="33"/>
  <c r="O82" i="33"/>
  <c r="O47" i="33"/>
  <c r="O44" i="33"/>
  <c r="O72" i="33"/>
  <c r="O83" i="33"/>
  <c r="O79" i="33"/>
  <c r="O61" i="33"/>
  <c r="O74" i="33"/>
  <c r="O63" i="33"/>
  <c r="O53" i="33"/>
  <c r="O62" i="33"/>
  <c r="O51" i="33"/>
  <c r="O81" i="33"/>
  <c r="O64" i="33"/>
  <c r="O49" i="33"/>
  <c r="O54" i="33"/>
  <c r="O41" i="33"/>
  <c r="L33" i="35"/>
  <c r="M33" i="35"/>
  <c r="N33" i="35"/>
  <c r="J66" i="33"/>
  <c r="N66" i="33" s="1"/>
  <c r="O66" i="33"/>
  <c r="L25" i="35"/>
  <c r="M25" i="35"/>
  <c r="N25" i="35"/>
  <c r="J58" i="33" s="1"/>
  <c r="N58" i="33" s="1"/>
  <c r="O58" i="33"/>
  <c r="L24" i="35"/>
  <c r="M24" i="35"/>
  <c r="L9" i="35"/>
  <c r="M9" i="35"/>
  <c r="L35" i="35"/>
  <c r="M35" i="35"/>
  <c r="L37" i="35"/>
  <c r="M37" i="35"/>
  <c r="L13" i="35"/>
  <c r="M13" i="35"/>
  <c r="L32" i="35"/>
  <c r="M32" i="35"/>
  <c r="L12" i="35"/>
  <c r="M12" i="35"/>
  <c r="L51" i="35"/>
  <c r="M51" i="35"/>
  <c r="N51" i="35"/>
  <c r="J84" i="33" s="1"/>
  <c r="N84" i="33" s="1"/>
  <c r="N32" i="35"/>
  <c r="J65" i="33" s="1"/>
  <c r="N65" i="33" s="1"/>
  <c r="N9" i="35"/>
  <c r="J42" i="33" s="1"/>
  <c r="N42" i="33" s="1"/>
  <c r="O42" i="33"/>
  <c r="O84" i="33"/>
  <c r="O65" i="33"/>
  <c r="L34" i="35"/>
  <c r="M34" i="35"/>
  <c r="L42" i="35"/>
  <c r="M42" i="35"/>
  <c r="N34" i="35"/>
  <c r="J67" i="33" s="1"/>
  <c r="N67" i="33" s="1"/>
  <c r="O67" i="33"/>
  <c r="L17" i="35"/>
  <c r="M17" i="35"/>
  <c r="N17" i="35"/>
  <c r="J50" i="33" s="1"/>
  <c r="N50" i="33" s="1"/>
  <c r="O50" i="33"/>
  <c r="L10" i="35"/>
  <c r="M10" i="35"/>
  <c r="N13" i="35"/>
  <c r="J46" i="33" s="1"/>
  <c r="N46" i="33" s="1"/>
  <c r="N10" i="35"/>
  <c r="J43" i="33" s="1"/>
  <c r="N43" i="33" s="1"/>
  <c r="N12" i="35"/>
  <c r="J45" i="33" s="1"/>
  <c r="N45" i="33" s="1"/>
  <c r="O46" i="33"/>
  <c r="O43" i="33"/>
  <c r="O45" i="33"/>
  <c r="L15" i="35"/>
  <c r="M15" i="35"/>
  <c r="N15" i="35"/>
  <c r="J48" i="33" s="1"/>
  <c r="N48" i="33" s="1"/>
  <c r="O48" i="33"/>
  <c r="L19" i="35"/>
  <c r="M19" i="35"/>
  <c r="N19" i="35"/>
  <c r="J52" i="33" s="1"/>
  <c r="N52" i="33" s="1"/>
  <c r="O52" i="33"/>
  <c r="L22" i="35"/>
  <c r="M22" i="35"/>
  <c r="N24" i="35"/>
  <c r="J57" i="33" s="1"/>
  <c r="N57" i="33" s="1"/>
  <c r="N22" i="35"/>
  <c r="J55" i="33" s="1"/>
  <c r="N55" i="33" s="1"/>
  <c r="O57" i="33"/>
  <c r="O55" i="33"/>
  <c r="L26" i="35"/>
  <c r="M26" i="35"/>
  <c r="N26" i="35"/>
  <c r="J59" i="33" s="1"/>
  <c r="N59" i="33" s="1"/>
  <c r="O59" i="33"/>
  <c r="L27" i="35"/>
  <c r="M27" i="35"/>
  <c r="N27" i="35"/>
  <c r="J60" i="33" s="1"/>
  <c r="N60" i="33" s="1"/>
  <c r="N35" i="35"/>
  <c r="J68" i="33" s="1"/>
  <c r="N68" i="33" s="1"/>
  <c r="O60" i="33"/>
  <c r="O68" i="33"/>
  <c r="L36" i="35"/>
  <c r="M36" i="35"/>
  <c r="N36" i="35"/>
  <c r="J69" i="33" s="1"/>
  <c r="N69" i="33" s="1"/>
  <c r="N37" i="35"/>
  <c r="J70" i="33"/>
  <c r="N70" i="33" s="1"/>
  <c r="O69" i="33"/>
  <c r="O70" i="33"/>
  <c r="L38" i="35"/>
  <c r="M38" i="35"/>
  <c r="N38" i="35"/>
  <c r="J71" i="33" s="1"/>
  <c r="N71" i="33" s="1"/>
  <c r="O71" i="33"/>
  <c r="L40" i="35"/>
  <c r="M40" i="35"/>
  <c r="N40" i="35"/>
  <c r="J73" i="33" s="1"/>
  <c r="N73" i="33" s="1"/>
  <c r="N42" i="35"/>
  <c r="J75" i="33" s="1"/>
  <c r="N75" i="33" s="1"/>
  <c r="O73" i="33"/>
  <c r="O75" i="33"/>
  <c r="L43" i="35"/>
  <c r="M43" i="35"/>
  <c r="N43" i="35"/>
  <c r="J76" i="33" s="1"/>
  <c r="N76" i="33" s="1"/>
  <c r="O76" i="33"/>
  <c r="L44" i="35"/>
  <c r="M44" i="35"/>
  <c r="N44" i="35"/>
  <c r="J77" i="33" s="1"/>
  <c r="N77" i="33" s="1"/>
  <c r="O77" i="33"/>
  <c r="L47" i="35"/>
  <c r="M47" i="35"/>
  <c r="N47" i="35"/>
  <c r="J80" i="33" s="1"/>
  <c r="N80" i="33" s="1"/>
  <c r="O80" i="33"/>
  <c r="P41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<sst xmlns="http://schemas.openxmlformats.org/spreadsheetml/2006/main" count="252" uniqueCount="142">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</sst>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1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3" fillId="5" borderId="4" xfId="14" applyFont="1" applyFill="1" applyBorder="1"/>
    <xf numFmtId="0" fontId="13" fillId="5" borderId="0" xfId="14" applyFont="1" applyFill="1" applyBorder="1"/>
    <xf numFmtId="0" fontId="13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3" fillId="6" borderId="6" xfId="14" applyNumberFormat="1" applyFont="1" applyFill="1" applyBorder="1"/>
    <xf numFmtId="170" fontId="13" fillId="7" borderId="7" xfId="14" applyNumberFormat="1" applyFont="1" applyFill="1" applyBorder="1" applyAlignment="1" applyProtection="1">
      <alignment horizontal="center"/>
    </xf>
    <xf numFmtId="15" fontId="13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3" fillId="7" borderId="7" xfId="14" quotePrefix="1" applyNumberFormat="1" applyFont="1" applyFill="1" applyBorder="1" applyAlignment="1" applyProtection="1">
      <alignment horizontal="left"/>
    </xf>
    <xf numFmtId="170" fontId="13" fillId="7" borderId="7" xfId="14" quotePrefix="1" applyNumberFormat="1" applyFont="1" applyFill="1" applyBorder="1" applyAlignment="1" applyProtection="1">
      <alignment horizontal="center"/>
    </xf>
    <xf numFmtId="172" fontId="13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3" fillId="7" borderId="7" xfId="14" quotePrefix="1" applyNumberFormat="1" applyFont="1" applyFill="1" applyBorder="1" applyAlignment="1" applyProtection="1">
      <alignment horizontal="center"/>
    </xf>
    <xf numFmtId="0" fontId="14" fillId="5" borderId="0" xfId="15" applyFont="1" applyFill="1" applyBorder="1" applyAlignment="1">
      <alignment horizontal="right"/>
    </xf>
    <xf numFmtId="174" fontId="15" fillId="5" borderId="0" xfId="15" applyNumberFormat="1" applyFont="1" applyFill="1" applyBorder="1" applyAlignment="1">
      <alignment horizontal="left"/>
    </xf>
    <xf numFmtId="0" fontId="13" fillId="5" borderId="10" xfId="14" applyFont="1" applyFill="1" applyBorder="1"/>
    <xf numFmtId="0" fontId="13" fillId="5" borderId="11" xfId="14" applyFont="1" applyFill="1" applyBorder="1"/>
    <xf numFmtId="0" fontId="13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5" fillId="5" borderId="0" xfId="15" applyFont="1" applyFill="1" applyBorder="1" applyAlignment="1">
      <alignment horizontal="right"/>
    </xf>
    <xf numFmtId="0" fontId="15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0" borderId="0" xfId="0" applyFont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8" borderId="22" xfId="0" applyFont="1" applyFill="1" applyBorder="1" applyAlignment="1"/>
    <xf numFmtId="171" fontId="9" fillId="8" borderId="23" xfId="0" applyNumberFormat="1" applyFont="1" applyFill="1" applyBorder="1" applyAlignment="1"/>
    <xf numFmtId="171" fontId="9" fillId="8" borderId="18" xfId="0" applyNumberFormat="1" applyFont="1" applyFill="1" applyBorder="1" applyAlignment="1"/>
    <xf numFmtId="172" fontId="9" fillId="8" borderId="22" xfId="0" applyNumberFormat="1" applyFont="1" applyFill="1" applyBorder="1" applyAlignment="1"/>
    <xf numFmtId="172" fontId="9" fillId="8" borderId="23" xfId="17" applyNumberFormat="1" applyFont="1" applyFill="1" applyBorder="1"/>
    <xf numFmtId="172" fontId="9" fillId="8" borderId="18" xfId="0" applyNumberFormat="1" applyFont="1" applyFill="1" applyBorder="1"/>
    <xf numFmtId="0" fontId="9" fillId="8" borderId="0" xfId="0" applyFont="1" applyFill="1"/>
    <xf numFmtId="0" fontId="9" fillId="8" borderId="0" xfId="0" applyFont="1" applyFill="1" applyBorder="1"/>
    <xf numFmtId="0" fontId="9" fillId="8" borderId="0" xfId="0" applyNumberFormat="1" applyFont="1" applyFill="1" applyBorder="1"/>
    <xf numFmtId="2" fontId="9" fillId="8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8" borderId="13" xfId="0" applyFont="1" applyFill="1" applyBorder="1" applyAlignment="1"/>
    <xf numFmtId="171" fontId="9" fillId="8" borderId="0" xfId="0" applyNumberFormat="1" applyFont="1" applyFill="1" applyBorder="1" applyAlignment="1"/>
    <xf numFmtId="171" fontId="9" fillId="8" borderId="9" xfId="0" applyNumberFormat="1" applyFont="1" applyFill="1" applyBorder="1" applyAlignment="1"/>
    <xf numFmtId="172" fontId="9" fillId="8" borderId="13" xfId="0" applyNumberFormat="1" applyFont="1" applyFill="1" applyBorder="1" applyAlignment="1"/>
    <xf numFmtId="172" fontId="9" fillId="8" borderId="0" xfId="17" applyNumberFormat="1" applyFont="1" applyFill="1" applyBorder="1"/>
    <xf numFmtId="172" fontId="9" fillId="8" borderId="9" xfId="0" applyNumberFormat="1" applyFont="1" applyFill="1" applyBorder="1"/>
    <xf numFmtId="172" fontId="9" fillId="8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NumberFormat="1" applyFont="1" applyBorder="1"/>
    <xf numFmtId="0" fontId="9" fillId="8" borderId="0" xfId="0" quotePrefix="1" applyFont="1" applyFill="1" applyBorder="1"/>
    <xf numFmtId="0" fontId="9" fillId="0" borderId="13" xfId="0" applyFont="1" applyBorder="1"/>
    <xf numFmtId="172" fontId="9" fillId="8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5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5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5" fillId="0" borderId="23" xfId="17" applyNumberFormat="1" applyFont="1" applyBorder="1"/>
    <xf numFmtId="172" fontId="15" fillId="9" borderId="17" xfId="17" applyNumberFormat="1" applyFont="1" applyFill="1" applyBorder="1" applyAlignment="1"/>
    <xf numFmtId="172" fontId="15" fillId="9" borderId="8" xfId="17" applyNumberFormat="1" applyFont="1" applyFill="1" applyBorder="1" applyAlignment="1"/>
    <xf numFmtId="172" fontId="15" fillId="9" borderId="13" xfId="17" applyNumberFormat="1" applyFont="1" applyFill="1" applyBorder="1" applyAlignment="1"/>
    <xf numFmtId="172" fontId="15" fillId="9" borderId="18" xfId="17" applyNumberFormat="1" applyFont="1" applyFill="1" applyBorder="1"/>
    <xf numFmtId="172" fontId="15" fillId="9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5" fillId="9" borderId="16" xfId="17" applyNumberFormat="1" applyFont="1" applyFill="1" applyBorder="1"/>
    <xf numFmtId="172" fontId="15" fillId="9" borderId="0" xfId="17" applyNumberFormat="1" applyFont="1" applyFill="1" applyBorder="1"/>
    <xf numFmtId="172" fontId="15" fillId="10" borderId="13" xfId="17" applyNumberFormat="1" applyFont="1" applyFill="1" applyBorder="1" applyAlignment="1">
      <alignment horizontal="left"/>
    </xf>
    <xf numFmtId="172" fontId="15" fillId="10" borderId="0" xfId="17" applyNumberFormat="1" applyFont="1" applyFill="1" applyBorder="1"/>
    <xf numFmtId="172" fontId="15" fillId="10" borderId="13" xfId="17" applyNumberFormat="1" applyFont="1" applyFill="1" applyBorder="1" applyAlignment="1"/>
    <xf numFmtId="172" fontId="15" fillId="10" borderId="0" xfId="17" applyNumberFormat="1" applyFont="1" applyFill="1" applyBorder="1" applyAlignment="1">
      <alignment horizontal="center"/>
    </xf>
    <xf numFmtId="172" fontId="15" fillId="10" borderId="9" xfId="17" applyNumberFormat="1" applyFont="1" applyFill="1" applyBorder="1"/>
    <xf numFmtId="172" fontId="15" fillId="10" borderId="9" xfId="17" applyNumberFormat="1" applyFont="1" applyFill="1" applyBorder="1" applyAlignment="1">
      <alignment horizontal="right"/>
    </xf>
    <xf numFmtId="172" fontId="15" fillId="9" borderId="14" xfId="17" applyNumberFormat="1" applyFont="1" applyFill="1" applyBorder="1" applyAlignment="1"/>
    <xf numFmtId="172" fontId="15" fillId="9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6" fillId="10" borderId="21" xfId="8" applyFont="1" applyFill="1" applyBorder="1" applyAlignment="1">
      <alignment horizontal="center" vertical="center" wrapText="1"/>
    </xf>
    <xf numFmtId="0" fontId="16" fillId="10" borderId="7" xfId="8" applyFont="1" applyFill="1" applyBorder="1" applyAlignment="1">
      <alignment horizontal="center" vertical="center" wrapText="1"/>
    </xf>
    <xf numFmtId="0" fontId="9" fillId="0" borderId="0" xfId="8" applyFont="1"/>
    <xf numFmtId="0" fontId="16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6" fillId="10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9" borderId="20" xfId="8" applyFont="1" applyFill="1" applyBorder="1"/>
    <xf numFmtId="0" fontId="9" fillId="9" borderId="21" xfId="8" applyFont="1" applyFill="1" applyBorder="1"/>
    <xf numFmtId="171" fontId="9" fillId="9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1" borderId="4" xfId="15" applyFont="1" applyFill="1" applyBorder="1"/>
    <xf numFmtId="0" fontId="9" fillId="11" borderId="0" xfId="15" applyFont="1" applyFill="1" applyBorder="1" applyAlignment="1">
      <alignment horizontal="right"/>
    </xf>
    <xf numFmtId="171" fontId="9" fillId="11" borderId="0" xfId="17" applyNumberFormat="1" applyFont="1" applyFill="1" applyBorder="1" applyAlignment="1">
      <alignment horizontal="center"/>
    </xf>
    <xf numFmtId="0" fontId="9" fillId="11" borderId="0" xfId="15" applyFont="1" applyFill="1" applyBorder="1"/>
    <xf numFmtId="0" fontId="9" fillId="11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2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6" fillId="6" borderId="19" xfId="0" applyFont="1" applyFill="1" applyBorder="1" applyAlignment="1">
      <alignment horizontal="right"/>
    </xf>
    <xf numFmtId="1" fontId="15" fillId="7" borderId="16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1" borderId="15" xfId="8" applyFont="1" applyFill="1" applyBorder="1"/>
    <xf numFmtId="0" fontId="9" fillId="11" borderId="21" xfId="8" applyFont="1" applyFill="1" applyBorder="1"/>
    <xf numFmtId="0" fontId="9" fillId="11" borderId="23" xfId="8" applyFont="1" applyFill="1" applyBorder="1"/>
    <xf numFmtId="0" fontId="9" fillId="11" borderId="0" xfId="8" applyFont="1" applyFill="1" applyBorder="1"/>
    <xf numFmtId="0" fontId="14" fillId="5" borderId="0" xfId="15" applyFont="1" applyFill="1" applyBorder="1" applyAlignment="1">
      <alignment horizontal="right" vertical="center"/>
    </xf>
    <xf numFmtId="0" fontId="15" fillId="5" borderId="0" xfId="15" applyFont="1" applyFill="1" applyBorder="1" applyAlignment="1">
      <alignment horizontal="right" vertical="center"/>
    </xf>
    <xf numFmtId="174" fontId="15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6" fillId="0" borderId="29" xfId="21" applyNumberFormat="1" applyFont="1" applyFill="1" applyBorder="1" applyAlignment="1">
      <alignment horizontal="center" vertical="center" wrapText="1"/>
    </xf>
    <xf numFmtId="173" fontId="16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6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6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1" borderId="43" xfId="14" applyFont="1" applyFill="1" applyBorder="1"/>
    <xf numFmtId="0" fontId="9" fillId="11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3" fillId="7" borderId="5" xfId="14" applyNumberFormat="1" applyFont="1" applyFill="1" applyBorder="1" applyAlignment="1" applyProtection="1">
      <alignment horizontal="left"/>
    </xf>
    <xf numFmtId="177" fontId="13" fillId="7" borderId="12" xfId="14" applyNumberFormat="1" applyFont="1" applyFill="1" applyBorder="1" applyAlignment="1" applyProtection="1">
      <alignment horizontal="left"/>
    </xf>
    <xf numFmtId="0" fontId="16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6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6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8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6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6" fillId="5" borderId="48" xfId="14" applyFont="1" applyFill="1" applyBorder="1" applyAlignment="1"/>
    <xf numFmtId="0" fontId="16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6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5" fillId="5" borderId="0" xfId="15" quotePrefix="1" applyFont="1" applyFill="1" applyBorder="1" applyAlignment="1">
      <alignment horizontal="center" vertical="center"/>
    </xf>
    <xf numFmtId="169" fontId="10" fillId="5" borderId="0" xfId="17" applyNumberFormat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Continuous" vertical="center"/>
    </xf>
    <xf numFmtId="0" fontId="11" fillId="4" borderId="49" xfId="16" applyFont="1" applyFill="1" applyBorder="1" applyAlignment="1">
      <alignment horizontal="centerContinuous" vertical="center"/>
    </xf>
    <xf numFmtId="171" fontId="9" fillId="5" borderId="6" xfId="15" applyNumberFormat="1" applyFont="1" applyFill="1" applyBorder="1" applyAlignment="1">
      <alignment horizontal="center"/>
    </xf>
    <xf numFmtId="1" fontId="9" fillId="5" borderId="6" xfId="17" applyNumberFormat="1" applyFont="1" applyFill="1" applyBorder="1" applyAlignment="1">
      <alignment horizontal="center"/>
    </xf>
    <xf numFmtId="1" fontId="9" fillId="5" borderId="7" xfId="17" applyNumberFormat="1" applyFont="1" applyFill="1" applyBorder="1" applyAlignment="1">
      <alignment horizontal="center"/>
    </xf>
    <xf numFmtId="0" fontId="9" fillId="5" borderId="11" xfId="15" applyFont="1" applyFill="1" applyBorder="1" applyAlignment="1">
      <alignment horizontal="center"/>
    </xf>
    <xf numFmtId="0" fontId="14" fillId="5" borderId="11" xfId="15" applyFont="1" applyFill="1" applyBorder="1" applyAlignment="1">
      <alignment horizontal="right" vertical="center"/>
    </xf>
    <xf numFmtId="0" fontId="15" fillId="5" borderId="11" xfId="15" applyFont="1" applyFill="1" applyBorder="1" applyAlignment="1">
      <alignment horizontal="right" vertical="center"/>
    </xf>
    <xf numFmtId="0" fontId="12" fillId="4" borderId="1" xfId="14" applyFont="1" applyFill="1" applyBorder="1" applyAlignment="1">
      <alignment horizontal="centerContinuous"/>
    </xf>
    <xf numFmtId="0" fontId="12" fillId="4" borderId="2" xfId="14" applyFont="1" applyFill="1" applyBorder="1" applyAlignment="1">
      <alignment horizontal="centerContinuous"/>
    </xf>
    <xf numFmtId="0" fontId="12" fillId="4" borderId="3" xfId="14" applyFont="1" applyFill="1" applyBorder="1" applyAlignment="1">
      <alignment horizontal="centerContinuous"/>
    </xf>
    <xf numFmtId="0" fontId="16" fillId="10" borderId="20" xfId="8" applyFont="1" applyFill="1" applyBorder="1" applyAlignment="1">
      <alignment horizontal="center" vertical="center" wrapText="1"/>
    </xf>
    <xf numFmtId="0" fontId="16" fillId="10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43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Q4</v>
          </cell>
        </row>
        <row r="7">
          <cell r="D7" t="str">
            <v>U4</v>
          </cell>
        </row>
      </sheetData>
      <sheetData sheetId="8">
        <row r="6">
          <cell r="D6" t="str">
            <v>Future Code</v>
          </cell>
        </row>
        <row r="7">
          <cell r="D7" t="str">
            <v>Q4</v>
          </cell>
        </row>
      </sheetData>
      <sheetData sheetId="9">
        <row r="6">
          <cell r="D6" t="str">
            <v>Q4</v>
          </cell>
        </row>
        <row r="7">
          <cell r="D7" t="str">
            <v>U4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Jun 25 2014 10:33:09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41851.540439814817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1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132</v>
      </c>
      <c r="C16" s="358"/>
      <c r="D16" s="358"/>
      <c r="E16" s="358"/>
      <c r="F16" s="359"/>
      <c r="H16" s="358" t="s">
        <v>141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41855</v>
      </c>
      <c r="E18" s="3"/>
      <c r="F18" s="4"/>
      <c r="H18" s="182"/>
      <c r="I18" s="5" t="s">
        <v>27</v>
      </c>
      <c r="J18" s="360">
        <v>41851.53802083333</v>
      </c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obj_00384#0000</v>
      </c>
      <c r="E19" s="3"/>
      <c r="F19" s="4"/>
      <c r="H19" s="182"/>
      <c r="I19" s="5" t="s">
        <v>28</v>
      </c>
      <c r="J19" s="360">
        <f>_xll.qlSettingsEvaluationDate(Trigger)</f>
        <v>41851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1">
        <f>[1]!TriggerCounter</f>
        <v>43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5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133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str">
        <f>_xll.qlEuribor(,IborTenor,YieldCurve,,D34)</f>
        <v>obj_003cd#0000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obj_003cc#0000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str">
        <f>_xll.qlPiecewiseYieldCurve(,NDays,Calendar,_xll.ohPack(SynthFra!A3:A127),DayCounter,,,Accuracy,TraitsID,InterpolatorID)</f>
        <v>obj_003cb#0000</v>
      </c>
      <c r="E40" s="29"/>
      <c r="F40" s="4"/>
    </row>
    <row r="41" spans="2:6" x14ac:dyDescent="0.2">
      <c r="B41" s="2"/>
      <c r="C41" s="261" t="s">
        <v>140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41855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43682</v>
      </c>
      <c r="D44" s="258">
        <f>MIN(_xll.ohPack(SynthFra!E2:E127))</f>
        <v>0.95994587642995011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>
      <selection activeCell="D1" sqref="D1"/>
    </sheetView>
  </sheetViews>
  <sheetFormatPr defaultRowHeight="11.25" outlineLevelCol="1" x14ac:dyDescent="0.2"/>
  <cols>
    <col min="1" max="1" width="11.6640625" style="36" hidden="1" customWidth="1" outlineLevel="1"/>
    <col min="2" max="2" width="17.83203125" style="36" hidden="1" customWidth="1" outlineLevel="1"/>
    <col min="3" max="3" width="7" style="36" hidden="1" customWidth="1" outlineLevel="1"/>
    <col min="4" max="4" width="31.1640625" style="36" bestFit="1" customWidth="1" collapsed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10.5" style="36" bestFit="1" customWidth="1"/>
    <col min="29" max="29" width="2.33203125" style="36" bestFit="1" customWidth="1"/>
    <col min="30" max="30" width="10.5" style="36" bestFit="1" customWidth="1"/>
    <col min="31" max="31" width="2.33203125" style="36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3.33203125" style="36" customWidth="1"/>
    <col min="42" max="43" width="10.5" style="36" bestFit="1" customWidth="1"/>
    <col min="44" max="16384" width="9.33203125" style="36"/>
  </cols>
  <sheetData>
    <row r="1" spans="1:36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36" x14ac:dyDescent="0.2">
      <c r="A2" s="36">
        <v>1</v>
      </c>
      <c r="B2" s="43" t="str">
        <f>_xll.qlMakeDatedOIS(,E2,F2,OvernightIndex,0,,,,Trigger)</f>
        <v>obj_003be#0000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41855</v>
      </c>
      <c r="F2" s="47">
        <f>_xll.qlCalendarAdvance(Calendar,E2,A3,"mf")</f>
        <v>41886</v>
      </c>
      <c r="G2" s="48">
        <f>_xll.qlQuoteValue($D2,AllTriggers)</f>
        <v>8.9999999999999998E-4</v>
      </c>
      <c r="H2" s="49">
        <f>_xll.qlOvernightIndexedSwapFairRate(B2,_xll.ohTrigger(C2,InterestRatesTrigger))</f>
        <v>6.7999999999878195E-4</v>
      </c>
      <c r="I2" s="50">
        <f>G2-H2</f>
        <v>2.2000000000121803E-4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31</v>
      </c>
      <c r="P2" s="52">
        <f>(O2^2-N2^2)/(O2-N2)</f>
        <v>31</v>
      </c>
      <c r="Q2" s="51"/>
      <c r="R2" s="51"/>
      <c r="S2" s="51"/>
      <c r="T2" s="54">
        <f>(O2^3-N2^3)/3/(O2-N2)</f>
        <v>320.33333333333337</v>
      </c>
      <c r="U2" s="54">
        <f>(O2+N2)/2</f>
        <v>15.5</v>
      </c>
      <c r="V2" s="54">
        <v>1</v>
      </c>
    </row>
    <row r="3" spans="1:36" x14ac:dyDescent="0.2">
      <c r="A3" s="36" t="str">
        <f>_xll.qlPeriodEquivalent(A2&amp;"M")</f>
        <v>1M</v>
      </c>
      <c r="B3" s="55" t="str">
        <f>_xll.qlMakeDatedOIS(,E3,F3,OvernightIndex,0,,,,Trigger)</f>
        <v>obj_0034b#0004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41855</v>
      </c>
      <c r="F3" s="59">
        <f>_xll.qlInterestRateIndexMaturity(A4,E3)</f>
        <v>41886</v>
      </c>
      <c r="G3" s="60">
        <f>_xll.qlQuoteValue(D3,AllTriggers)</f>
        <v>9.7999999999999997E-4</v>
      </c>
      <c r="H3" s="61">
        <f>_xll.qlOvernightIndexedSwapFairRate(B3,_xll.ohTrigger(C3,InterestRatesTrigger))</f>
        <v>6.7999999999878195E-4</v>
      </c>
      <c r="I3" s="62">
        <f t="shared" ref="I3:I27" si="1">G3-H3</f>
        <v>3.0000000000121802E-4</v>
      </c>
      <c r="J3" s="51" t="b">
        <f>NOT(ISERROR(I3))</f>
        <v>1</v>
      </c>
      <c r="K3" s="63">
        <f>K4</f>
        <v>-9.3812572122109909E-7</v>
      </c>
      <c r="L3" s="61">
        <f>_xll.ohFilter($I$2:$I$3,$J$2:$J$3)-K3*_xll.ohFilter($P$2:$P$3,$J$2:$J$3)</f>
        <v>3.2908189735907209E-4</v>
      </c>
      <c r="M3" s="52"/>
      <c r="N3" s="53">
        <f t="shared" si="0"/>
        <v>0</v>
      </c>
      <c r="O3" s="53">
        <f t="shared" si="0"/>
        <v>31</v>
      </c>
      <c r="P3" s="52">
        <f>(O3^2-N3^2)/(O3-N3)</f>
        <v>31</v>
      </c>
      <c r="Q3" s="51"/>
      <c r="R3" s="51"/>
      <c r="S3" s="51"/>
      <c r="T3" s="54">
        <f>(O3^3-N3^3)/3/(O3-N3)</f>
        <v>320.33333333333337</v>
      </c>
      <c r="U3" s="54">
        <f>(O3+N3)/2</f>
        <v>15.5</v>
      </c>
      <c r="V3" s="54">
        <v>1</v>
      </c>
    </row>
    <row r="4" spans="1:36" x14ac:dyDescent="0.2">
      <c r="A4" s="36" t="str">
        <f>PROPER(Currency)&amp;IborType&amp;SynthDepo!A3</f>
        <v>Euribor1M</v>
      </c>
      <c r="B4" s="55" t="str">
        <f>_xll.qlMakeDatedOIS(,E4,F4,OvernightIndex,0,,,,Trigger)</f>
        <v>obj_0034c#0004</v>
      </c>
      <c r="C4" s="56" t="b">
        <f>_xll.qlInstrumentSetPricingEngine(B4,OisEngine)</f>
        <v>1</v>
      </c>
      <c r="D4" s="64" t="s">
        <v>52</v>
      </c>
      <c r="E4" s="65">
        <f>F3</f>
        <v>41886</v>
      </c>
      <c r="F4" s="66">
        <f>F5</f>
        <v>41918</v>
      </c>
      <c r="G4" s="67">
        <f>((1+G5*(F5-E5)/360)/(1+G3*(F3-E3)/360)-1)/(F4-E4)*360</f>
        <v>9.7991730586888259E-4</v>
      </c>
      <c r="H4" s="68">
        <f>_xll.qlOvernightIndexedSwapFairRate(B4,_xll.ohTrigger(C4,InterestRatesTrigger))</f>
        <v>7.3901922630459382E-4</v>
      </c>
      <c r="I4" s="69">
        <f>G4-H4</f>
        <v>2.4089807956428877E-4</v>
      </c>
      <c r="J4" s="36" t="b">
        <f>NOT(ISERROR(I4))</f>
        <v>1</v>
      </c>
      <c r="K4" s="68">
        <f>(I4-_xll.ohFilter($I$2:$I$3,$J$2:$J$3))/(P4-_xll.ohFilter($P$2:$P$3,$J$2:$J$3))</f>
        <v>-9.3812572122109909E-7</v>
      </c>
      <c r="L4" s="68">
        <f>_xll.ohFilter($I$2:$I$3,$J$2:$J$3)-K4*_xll.ohFilter($P$2:$P$3,$J$2:$J$3)</f>
        <v>3.2908189735907209E-4</v>
      </c>
      <c r="M4" s="70"/>
      <c r="N4" s="71">
        <f t="shared" si="0"/>
        <v>31</v>
      </c>
      <c r="O4" s="71">
        <f t="shared" si="0"/>
        <v>63</v>
      </c>
      <c r="P4" s="70">
        <f>(O4^2-N4^2)/(O4-N4)</f>
        <v>94</v>
      </c>
      <c r="T4" s="72">
        <f>(O4^3-N4^3)/3/(O4-N4)</f>
        <v>2294.3333333333335</v>
      </c>
      <c r="U4" s="72">
        <f>(O4+N4)/2</f>
        <v>47</v>
      </c>
      <c r="V4" s="72">
        <v>1</v>
      </c>
    </row>
    <row r="5" spans="1:36" x14ac:dyDescent="0.2">
      <c r="B5" s="55"/>
      <c r="C5" s="56"/>
      <c r="D5" s="73" t="str">
        <f>Currency&amp;"2X1S"&amp;QuoteSuffix</f>
        <v>EUR2X1S_Quote</v>
      </c>
      <c r="E5" s="65">
        <f>SettlementDate</f>
        <v>41855</v>
      </c>
      <c r="F5" s="66">
        <f>_xll.qlCalendarAdvance(Calendar,E5,"2M","mf")</f>
        <v>41918</v>
      </c>
      <c r="G5" s="74">
        <f>_xll.qlQuoteValue($D5,AllTriggers)</f>
        <v>9.7999999999999997E-4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36" x14ac:dyDescent="0.2">
      <c r="A6" s="36">
        <v>3</v>
      </c>
      <c r="B6" s="43" t="str">
        <f>_xll.qlMakeDatedOIS(,E6,F6,OvernightIndex,0,,,,EvaluationDate)</f>
        <v>obj_003c6#0000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41855</v>
      </c>
      <c r="F6" s="47">
        <f>_xll.qlCalendarAdvance(Calendar,E6,A7,"mf")</f>
        <v>41947</v>
      </c>
      <c r="G6" s="48">
        <f>_xll.qlQuoteValue($D6,AllTriggers)</f>
        <v>2.0999999999999999E-3</v>
      </c>
      <c r="H6" s="49">
        <f>_xll.qlOvernightIndexedSwapFairRate(B6,_xll.ohTrigger(C6,InterestRatesTrigger))</f>
        <v>6.7999999999541854E-4</v>
      </c>
      <c r="I6" s="50">
        <f t="shared" si="1"/>
        <v>1.4200000000045812E-3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92</v>
      </c>
      <c r="P6" s="52">
        <f>(O6^2-N6^2)/(O6-N6)</f>
        <v>92</v>
      </c>
      <c r="Q6" s="51"/>
      <c r="R6" s="51"/>
      <c r="S6" s="51"/>
      <c r="T6" s="54">
        <f t="shared" ref="T6:T27" si="4">(O6^3-N6^3)/3/(O6-N6)</f>
        <v>2821.333333333333</v>
      </c>
      <c r="U6" s="54">
        <f t="shared" ref="U6:U27" si="5">(O6+N6)/2</f>
        <v>46</v>
      </c>
      <c r="V6" s="54">
        <v>1</v>
      </c>
    </row>
    <row r="7" spans="1:36" x14ac:dyDescent="0.2">
      <c r="A7" s="36" t="str">
        <f>_xll.qlPeriodEquivalent(A6&amp;"M")</f>
        <v>3M</v>
      </c>
      <c r="B7" s="55" t="str">
        <f>_xll.qlMakeDatedOIS(,E7,F7,OvernightIndex,0,,,,EvaluationDate)</f>
        <v>obj_0034a#0004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41855</v>
      </c>
      <c r="F7" s="59">
        <f>_xll.qlInterestRateIndexMaturity(A8,E7)</f>
        <v>41947</v>
      </c>
      <c r="G7" s="60">
        <f>_xll.qlQuoteValue(D7,AllTriggers)</f>
        <v>2.0899999999999998E-3</v>
      </c>
      <c r="H7" s="61">
        <f>_xll.qlOvernightIndexedSwapFairRate(B7,_xll.ohTrigger(C7,InterestRatesTrigger))</f>
        <v>6.7999999999541854E-4</v>
      </c>
      <c r="I7" s="62">
        <f t="shared" si="1"/>
        <v>1.4100000000045812E-3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0</v>
      </c>
      <c r="O7" s="53">
        <f t="shared" si="3"/>
        <v>92</v>
      </c>
      <c r="P7" s="52">
        <f t="shared" ref="P7:P27" si="6">(O7^2-N7^2)/(O7-N7)</f>
        <v>92</v>
      </c>
      <c r="Q7" s="51"/>
      <c r="R7" s="51"/>
      <c r="S7" s="51"/>
      <c r="T7" s="54">
        <f t="shared" si="4"/>
        <v>2821.333333333333</v>
      </c>
      <c r="U7" s="54">
        <f t="shared" si="5"/>
        <v>46</v>
      </c>
      <c r="V7" s="54">
        <v>1</v>
      </c>
    </row>
    <row r="8" spans="1:36" x14ac:dyDescent="0.2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-41855</v>
      </c>
      <c r="P8" s="52">
        <f t="shared" si="6"/>
        <v>-41855</v>
      </c>
      <c r="Q8" s="51"/>
      <c r="R8" s="51"/>
      <c r="S8" s="51"/>
      <c r="T8" s="54">
        <f t="shared" si="4"/>
        <v>583947008.33333337</v>
      </c>
      <c r="U8" s="54">
        <f t="shared" si="5"/>
        <v>-20927.5</v>
      </c>
      <c r="V8" s="54">
        <v>1</v>
      </c>
      <c r="AB8" s="36" t="s">
        <v>53</v>
      </c>
      <c r="AF8" s="36" t="s">
        <v>54</v>
      </c>
      <c r="AJ8" s="36" t="s">
        <v>55</v>
      </c>
    </row>
    <row r="9" spans="1:36" x14ac:dyDescent="0.2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-6.704084717654571E-7</v>
      </c>
      <c r="L9" s="61">
        <f>_xll.ohFilter($I$6:$I$9,$J$6:$J$9)-K9*_xll.ohFilter($P$6:$P$9,$J$6:$J$9)</f>
        <v>1.4716775794070033E-3</v>
      </c>
      <c r="M9" s="52"/>
      <c r="N9" s="53">
        <f t="shared" si="2"/>
        <v>-41855</v>
      </c>
      <c r="O9" s="53">
        <f t="shared" si="3"/>
        <v>-41855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-41855</v>
      </c>
      <c r="V9" s="54">
        <v>1</v>
      </c>
      <c r="X9" s="81">
        <f t="array" ref="X9:X11">_xll.ohFilter(T6:T14,$J6:$J14)</f>
        <v>2821.333333333333</v>
      </c>
      <c r="Y9" s="84">
        <f t="array" ref="Y9:Y11">_xll.ohFilter(U6:U14,$J6:$J14)</f>
        <v>46</v>
      </c>
      <c r="Z9" s="87">
        <f t="array" ref="Z9:Z11">_xll.ohFilter(V6:V14,$J6:$J14)</f>
        <v>1</v>
      </c>
      <c r="AB9" s="90">
        <f t="array" ref="AB9:AB11">MMULT(AF9:AH11,AD9:AD11)</f>
        <v>1.2503929435577998E-7</v>
      </c>
      <c r="AD9" s="90">
        <f t="array" ref="AD9:AD11">_xll.ohFilter(I6:I14,$J6:$J14)</f>
        <v>1.4100000000045812E-3</v>
      </c>
      <c r="AF9" s="93">
        <f t="array" ref="AF9:AH11">MINVERSE(X9:Z11)</f>
        <v>1.4553344623200696E-3</v>
      </c>
      <c r="AG9" s="94">
        <v>-2.3020745131244729E-3</v>
      </c>
      <c r="AH9" s="95">
        <v>8.4674005080440399E-4</v>
      </c>
      <c r="AJ9" s="102">
        <f t="array" ref="AJ9:AJ11">MMULT(X9:Z11,AB9:AB11)-AD9:AD11</f>
        <v>-1.7347234759768071E-18</v>
      </c>
    </row>
    <row r="10" spans="1:36" x14ac:dyDescent="0.2">
      <c r="A10" s="36" t="str">
        <f>_xll.qlIMMNextCode(SettlementDate-1,FALSE)</f>
        <v>Q4</v>
      </c>
      <c r="B10" s="79" t="str">
        <f>_xll.qlMakeDatedOIS(,E10,F10,OvernightIndex,0,,,,EvaluationDate)</f>
        <v>obj_003c9#0000</v>
      </c>
      <c r="C10" s="56" t="b">
        <f>_xll.qlInstrumentSetPricingEngine(B10,OisEngine)</f>
        <v>1</v>
      </c>
      <c r="D10" s="64" t="str">
        <f>Currency&amp;"FUT3M"&amp;A10&amp;QuoteSuffix</f>
        <v>EURFUT3MQ4_Quote</v>
      </c>
      <c r="E10" s="65">
        <f>_xll.qlIMMdate(A10)</f>
        <v>41871</v>
      </c>
      <c r="F10" s="66">
        <f>_xll.qlCalendarAdvance(Calendar,E10,"3M","mf")</f>
        <v>41963</v>
      </c>
      <c r="G10" s="74">
        <f>1-_xll.qlQuoteValue($D10,AllTriggers)/100</f>
        <v>2.074999999999938E-3</v>
      </c>
      <c r="H10" s="68">
        <f>_xll.qlOvernightIndexedSwapFairRate(B10,_xll.ohTrigger(C10,InterestRatesTrigger))</f>
        <v>7.208317322594381E-4</v>
      </c>
      <c r="I10" s="69">
        <f t="shared" si="1"/>
        <v>1.3541682677404999E-3</v>
      </c>
      <c r="J10" s="36" t="b">
        <f>AND(NOT(ISERROR(I10)))</f>
        <v>1</v>
      </c>
      <c r="K10" s="68">
        <f>(I10-_xll.ohFilter($I$6:$I$9,$J$6:$J$9))/(P10-_xll.ohFilter($P$6:$P$9,$J$6:$J$9))</f>
        <v>-1.7447416332525405E-6</v>
      </c>
      <c r="L10" s="68">
        <f>_xll.ohFilter($I$6:$I$9,$J$6:$J$9)-K10*_xll.ohFilter($P$6:$P$9,$J$6:$J$9)</f>
        <v>1.5705162302638148E-3</v>
      </c>
      <c r="M10" s="70"/>
      <c r="N10" s="71">
        <f t="shared" ref="N10:N18" si="7">E10-SettlementDate</f>
        <v>16</v>
      </c>
      <c r="O10" s="71">
        <f t="shared" ref="O10:O18" si="8">F10-SettlementDate</f>
        <v>108</v>
      </c>
      <c r="P10" s="70">
        <f t="shared" si="6"/>
        <v>124</v>
      </c>
      <c r="T10" s="72">
        <f t="shared" si="4"/>
        <v>4549.3333333333339</v>
      </c>
      <c r="U10" s="72">
        <f t="shared" si="5"/>
        <v>62</v>
      </c>
      <c r="V10" s="72">
        <v>1</v>
      </c>
      <c r="X10" s="82">
        <v>4549.3333333333339</v>
      </c>
      <c r="Y10" s="85">
        <v>62</v>
      </c>
      <c r="Z10" s="88">
        <v>1</v>
      </c>
      <c r="AA10" s="41" t="s">
        <v>56</v>
      </c>
      <c r="AB10" s="91">
        <v>-1.6993727056929315E-5</v>
      </c>
      <c r="AC10" s="41" t="s">
        <v>57</v>
      </c>
      <c r="AD10" s="91">
        <v>1.3541682677404999E-3</v>
      </c>
      <c r="AF10" s="96">
        <v>-0.2196761219305676</v>
      </c>
      <c r="AG10" s="97">
        <v>0.31112404741744321</v>
      </c>
      <c r="AH10" s="98">
        <v>-9.1447925486875664E-2</v>
      </c>
      <c r="AJ10" s="103">
        <v>-1.5178830414797062E-18</v>
      </c>
    </row>
    <row r="11" spans="1:36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obj_003ca#0000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2.074999999999938E-3</v>
      </c>
      <c r="H11" s="68">
        <f>_xll.qlOvernightIndexedSwapFairRate(B11,_xll.ohTrigger(C11,InterestRatesTrigger))</f>
        <v>6.6912111545415324E-4</v>
      </c>
      <c r="I11" s="69">
        <f t="shared" si="1"/>
        <v>1.4058788845457849E-3</v>
      </c>
      <c r="J11" s="36" t="b">
        <f>NOT(ISERROR(I11))</f>
        <v>1</v>
      </c>
      <c r="K11" s="68">
        <f>(I11-_xll.ohFilter($I$6:$I$9,$J$6:$J$9))/(P11-_xll.ohFilter($P$6:$P$9,$J$6:$J$9))</f>
        <v>-4.7369143204555507E-8</v>
      </c>
      <c r="L11" s="68">
        <f>_xll.ohFilter($I$6:$I$9,$J$6:$J$9)-K11*_xll.ohFilter($P$6:$P$9,$J$6:$J$9)</f>
        <v>1.4143579611794004E-3</v>
      </c>
      <c r="M11" s="70"/>
      <c r="N11" s="71">
        <f t="shared" si="7"/>
        <v>44</v>
      </c>
      <c r="O11" s="71">
        <f t="shared" si="8"/>
        <v>135</v>
      </c>
      <c r="P11" s="70">
        <f t="shared" si="6"/>
        <v>179</v>
      </c>
      <c r="T11" s="72">
        <f t="shared" si="4"/>
        <v>8700.3333333333339</v>
      </c>
      <c r="U11" s="72">
        <f t="shared" si="5"/>
        <v>89.5</v>
      </c>
      <c r="V11" s="72">
        <v>1</v>
      </c>
      <c r="X11" s="83">
        <v>8700.3333333333339</v>
      </c>
      <c r="Y11" s="86">
        <v>89.5</v>
      </c>
      <c r="Z11" s="89">
        <v>1</v>
      </c>
      <c r="AB11" s="92">
        <v>1.8389339154808873E-3</v>
      </c>
      <c r="AD11" s="92">
        <v>1.4058788845457849E-3</v>
      </c>
      <c r="AF11" s="99">
        <v>6.9991179791137537</v>
      </c>
      <c r="AG11" s="100">
        <v>-7.8167866215072088</v>
      </c>
      <c r="AH11" s="101">
        <v>1.8176686423934558</v>
      </c>
      <c r="AJ11" s="104">
        <v>0</v>
      </c>
    </row>
    <row r="12" spans="1:36" x14ac:dyDescent="0.2">
      <c r="A12" s="36">
        <v>1</v>
      </c>
      <c r="B12" s="79" t="str">
        <f>_xll.qlMakeDatedOIS(,E12,F12,OvernightIndex,0,,,,EvaluationDate)</f>
        <v>obj_003c5#0000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41886</v>
      </c>
      <c r="F12" s="66">
        <f>_xll.qlInterestRateIndexMaturity($A$8,E12)</f>
        <v>41977</v>
      </c>
      <c r="G12" s="74">
        <f>_xll.qlQuoteValue(D12,AllTriggers)</f>
        <v>2.0900000000000003E-3</v>
      </c>
      <c r="H12" s="68">
        <f>_xll.qlOvernightIndexedSwapFairRate(B12,_xll.ohTrigger(C12,InterestRatesTrigger))</f>
        <v>6.9336599296461487E-4</v>
      </c>
      <c r="I12" s="69">
        <f>G12-H12</f>
        <v>1.3966340070353854E-3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-2.1911463883927526E-7</v>
      </c>
      <c r="L12" s="68">
        <f>_xll.ohFilter($I$6:$I$9,$J$6:$J$9)-K12*_xll.ohFilter($P$6:$P$9,$J$6:$J$9)</f>
        <v>1.4301585467777944E-3</v>
      </c>
      <c r="M12" s="70"/>
      <c r="N12" s="71">
        <f t="shared" si="7"/>
        <v>31</v>
      </c>
      <c r="O12" s="71">
        <f t="shared" si="8"/>
        <v>122</v>
      </c>
      <c r="P12" s="70">
        <f t="shared" si="6"/>
        <v>153</v>
      </c>
      <c r="T12" s="72">
        <f t="shared" si="4"/>
        <v>6542.3333333333339</v>
      </c>
      <c r="U12" s="72">
        <f t="shared" si="5"/>
        <v>76.5</v>
      </c>
      <c r="V12" s="72">
        <v>1</v>
      </c>
      <c r="X12" s="72"/>
      <c r="Y12" s="72"/>
      <c r="Z12" s="72"/>
    </row>
    <row r="13" spans="1:36" x14ac:dyDescent="0.2">
      <c r="A13" s="36">
        <v>2</v>
      </c>
      <c r="B13" s="79" t="str">
        <f>_xll.qlMakeDatedOIS(,E13,F13,OvernightIndex,0,,,,EvaluationDate)</f>
        <v>obj_003c3#0000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41918</v>
      </c>
      <c r="F13" s="66">
        <f>_xll.qlInterestRateIndexMaturity($A$8,E13)</f>
        <v>42010</v>
      </c>
      <c r="G13" s="74">
        <f>_xll.qlQuoteValue(D13,AllTriggers)</f>
        <v>2.0800000000000003E-3</v>
      </c>
      <c r="H13" s="68">
        <f>_xll.qlOvernightIndexedSwapFairRate(B13,_xll.ohTrigger(C13,InterestRatesTrigger))</f>
        <v>6.7480587859808133E-4</v>
      </c>
      <c r="I13" s="69">
        <f>G13-H13</f>
        <v>1.4051941214019189E-3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-3.8141893671922875E-8</v>
      </c>
      <c r="L13" s="68">
        <f>_xll.ohFilter($I$6:$I$9,$J$6:$J$9)-K13*_xll.ohFilter($P$6:$P$9,$J$6:$J$9)</f>
        <v>1.4135090542223981E-3</v>
      </c>
      <c r="M13" s="70"/>
      <c r="N13" s="71">
        <f t="shared" si="7"/>
        <v>63</v>
      </c>
      <c r="O13" s="71">
        <f t="shared" si="8"/>
        <v>155</v>
      </c>
      <c r="P13" s="70">
        <f t="shared" si="6"/>
        <v>218</v>
      </c>
      <c r="T13" s="72">
        <f t="shared" si="4"/>
        <v>12586.333333333334</v>
      </c>
      <c r="U13" s="72">
        <f t="shared" si="5"/>
        <v>109</v>
      </c>
      <c r="V13" s="72">
        <v>1</v>
      </c>
      <c r="X13" s="72"/>
      <c r="Y13" s="72"/>
      <c r="Z13" s="72"/>
    </row>
    <row r="14" spans="1:36" x14ac:dyDescent="0.2">
      <c r="A14" s="36">
        <v>3</v>
      </c>
      <c r="B14" s="79" t="str">
        <f>_xll.qlMakeDatedOIS(,E14,F14,OvernightIndex,0,,,,EvaluationDate)</f>
        <v>obj_003c1#0000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41947</v>
      </c>
      <c r="F14" s="66">
        <f>_xll.qlInterestRateIndexMaturity($A$8,E14)</f>
        <v>42039</v>
      </c>
      <c r="G14" s="74">
        <f>_xll.qlQuoteValue(D14,AllTriggers)</f>
        <v>2.0400000000000001E-3</v>
      </c>
      <c r="H14" s="68">
        <f>_xll.qlOvernightIndexedSwapFairRate(B14,_xll.ohTrigger(C14,InterestRatesTrigger))</f>
        <v>6.5988532653117192E-4</v>
      </c>
      <c r="I14" s="69">
        <f>G14-H14</f>
        <v>1.3801146734688282E-3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-1.6242025291170096E-7</v>
      </c>
      <c r="L14" s="68">
        <f>_xll.ohFilter($I$6:$I$9,$J$6:$J$9)-K14*_xll.ohFilter($P$6:$P$9,$J$6:$J$9)</f>
        <v>1.4249426632724576E-3</v>
      </c>
      <c r="M14" s="70"/>
      <c r="N14" s="71">
        <f t="shared" si="7"/>
        <v>92</v>
      </c>
      <c r="O14" s="71">
        <f t="shared" si="8"/>
        <v>184</v>
      </c>
      <c r="P14" s="70">
        <f t="shared" si="6"/>
        <v>276</v>
      </c>
      <c r="T14" s="72">
        <f t="shared" si="4"/>
        <v>19749.333333333336</v>
      </c>
      <c r="U14" s="72">
        <f t="shared" si="5"/>
        <v>138</v>
      </c>
      <c r="V14" s="72">
        <v>1</v>
      </c>
      <c r="X14" s="72"/>
      <c r="Y14" s="72"/>
      <c r="Z14" s="72"/>
    </row>
    <row r="15" spans="1:36" x14ac:dyDescent="0.2">
      <c r="A15" s="36">
        <v>6</v>
      </c>
      <c r="B15" s="43" t="str">
        <f>_xll.qlMakeDatedOIS(,E15,F15,OvernightIndex,0,,,,EvaluationDate)</f>
        <v>obj_003c7#0000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41855</v>
      </c>
      <c r="F15" s="47">
        <f>_xll.qlCalendarAdvance(Calendar,E15,A16,"mf")</f>
        <v>42039</v>
      </c>
      <c r="G15" s="48">
        <f>_xll.qlQuoteValue($D15,AllTriggers)</f>
        <v>3.0999999999999999E-3</v>
      </c>
      <c r="H15" s="49">
        <f>_xll.qlOvernightIndexedSwapFairRate(B15,_xll.ohTrigger(C15,InterestRatesTrigger))</f>
        <v>6.6999999996607219E-4</v>
      </c>
      <c r="I15" s="50">
        <f t="shared" si="1"/>
        <v>2.4300000000339276E-3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184</v>
      </c>
      <c r="P15" s="52">
        <f t="shared" si="6"/>
        <v>184</v>
      </c>
      <c r="Q15" s="51"/>
      <c r="R15" s="51"/>
      <c r="S15" s="51"/>
      <c r="T15" s="54">
        <f t="shared" si="4"/>
        <v>11285.333333333332</v>
      </c>
      <c r="U15" s="54">
        <f t="shared" si="5"/>
        <v>92</v>
      </c>
      <c r="V15" s="54">
        <v>1</v>
      </c>
    </row>
    <row r="16" spans="1:36" x14ac:dyDescent="0.2">
      <c r="A16" s="36" t="str">
        <f>_xll.qlPeriodEquivalent(A15&amp;"M")</f>
        <v>6M</v>
      </c>
      <c r="B16" s="55" t="str">
        <f>_xll.qlMakeDatedOIS(,E16,F16,OvernightIndex,0,,,,EvaluationDate)</f>
        <v>obj_00348#0004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41855</v>
      </c>
      <c r="F16" s="59">
        <f>_xll.qlInterestRateIndexMaturity(A17,E16)</f>
        <v>42039</v>
      </c>
      <c r="G16" s="60">
        <f>_xll.qlQuoteValue(D16,AllTriggers)</f>
        <v>3.0599999999999998E-3</v>
      </c>
      <c r="H16" s="61">
        <f>_xll.qlOvernightIndexedSwapFairRate(B16,_xll.ohTrigger(C16,InterestRatesTrigger))</f>
        <v>6.6999999996607219E-4</v>
      </c>
      <c r="I16" s="62">
        <f t="shared" si="1"/>
        <v>2.3900000000339275E-3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0</v>
      </c>
      <c r="O16" s="53">
        <f t="shared" si="8"/>
        <v>184</v>
      </c>
      <c r="P16" s="52">
        <f t="shared" si="6"/>
        <v>184</v>
      </c>
      <c r="Q16" s="51"/>
      <c r="R16" s="51"/>
      <c r="S16" s="51"/>
      <c r="T16" s="54">
        <f t="shared" si="4"/>
        <v>11285.333333333332</v>
      </c>
      <c r="U16" s="54">
        <f t="shared" si="5"/>
        <v>92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-41855</v>
      </c>
      <c r="O17" s="53">
        <f t="shared" si="8"/>
        <v>-41855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-41855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1.0472410157851154E-7</v>
      </c>
      <c r="L18" s="61">
        <f>_xll.ohFilter($I$15:$I$18,$J$15:$J$18)-K18*_xll.ohFilter($P$15:$P$18,$J$15:$J$18)</f>
        <v>2.3707307653434814E-3</v>
      </c>
      <c r="M18" s="52"/>
      <c r="N18" s="53">
        <f t="shared" si="7"/>
        <v>-41855</v>
      </c>
      <c r="O18" s="53">
        <f t="shared" si="8"/>
        <v>-41855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-41855</v>
      </c>
      <c r="V18" s="54">
        <v>1</v>
      </c>
      <c r="X18" s="81">
        <f t="array" ref="X18:X20">_xll.ohFilter(T15:T24,$J15:$J24)</f>
        <v>11285.333333333332</v>
      </c>
      <c r="Y18" s="84">
        <f t="array" ref="Y18:Y20">_xll.ohFilter(U15:U24,$J15:$J24)</f>
        <v>92</v>
      </c>
      <c r="Z18" s="87">
        <f t="array" ref="Z18:Z20">_xll.ohFilter(V15:V24,$J15:$J24)</f>
        <v>1</v>
      </c>
      <c r="AB18" s="90">
        <f t="array" ref="AB18:AB20">MMULT(AF18:AH20,AD18:AD20)</f>
        <v>-1.7181403068983216E-8</v>
      </c>
      <c r="AD18" s="90">
        <f t="array" ref="AD18:AD20">_xll.ohFilter(I15:I24,$J15:$J24)</f>
        <v>2.3900000000339275E-3</v>
      </c>
      <c r="AF18" s="93">
        <f t="array" ref="AF18:AH20">MINVERSE(X18:Z20)</f>
        <v>5.027064904993562E-4</v>
      </c>
      <c r="AG18" s="94">
        <v>-9.5209562594575012E-4</v>
      </c>
      <c r="AH18" s="95">
        <v>4.4938913544639419E-4</v>
      </c>
      <c r="AJ18" s="102">
        <f t="array" ref="AJ18:AJ20">MMULT(X18:Z20,AB18:AB20)-AD18:AD20</f>
        <v>-1.3010426069826053E-18</v>
      </c>
    </row>
    <row r="19" spans="1:36" x14ac:dyDescent="0.2">
      <c r="A19" s="36">
        <v>1</v>
      </c>
      <c r="B19" s="79" t="str">
        <f>_xll.qlMakeDatedOIS(,E19,F19,OvernightIndex,0,,,,EvaluationDate)</f>
        <v>obj_003bc#0000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41886</v>
      </c>
      <c r="F19" s="66">
        <f>_xll.qlInterestRateIndexMaturity($A$17,E19)</f>
        <v>42067</v>
      </c>
      <c r="G19" s="67">
        <f>_xll.qlQuoteValue(D19,AllTriggers)</f>
        <v>3.1100000000000004E-3</v>
      </c>
      <c r="H19" s="68">
        <f>_xll.qlOvernightIndexedSwapFairRate(B19,_xll.ohTrigger(C19,InterestRatesTrigger))</f>
        <v>7.0338422724093358E-4</v>
      </c>
      <c r="I19" s="69">
        <f t="shared" si="1"/>
        <v>2.4066157727590668E-3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2.8162326652778458E-7</v>
      </c>
      <c r="L19" s="68">
        <f>_xll.ohFilter($I$15:$I$18,$J$15:$J$18)-K19*_xll.ohFilter($P$15:$P$18,$J$15:$J$18)</f>
        <v>2.3381813189928152E-3</v>
      </c>
      <c r="M19" s="70"/>
      <c r="N19" s="71">
        <f t="shared" ref="N19:N27" si="11">E19-SettlementDate</f>
        <v>31</v>
      </c>
      <c r="O19" s="71">
        <f t="shared" ref="O19:O27" si="12">F19-SettlementDate</f>
        <v>212</v>
      </c>
      <c r="P19" s="70">
        <f t="shared" si="6"/>
        <v>243</v>
      </c>
      <c r="T19" s="72">
        <f t="shared" si="4"/>
        <v>17492.333333333336</v>
      </c>
      <c r="U19" s="72">
        <f t="shared" si="5"/>
        <v>121.5</v>
      </c>
      <c r="V19" s="72">
        <v>1</v>
      </c>
      <c r="X19" s="82">
        <v>17492.333333333336</v>
      </c>
      <c r="Y19" s="85">
        <v>121.5</v>
      </c>
      <c r="Z19" s="88">
        <v>1</v>
      </c>
      <c r="AA19" s="41" t="s">
        <v>56</v>
      </c>
      <c r="AB19" s="91">
        <v>4.1783302228582536E-6</v>
      </c>
      <c r="AC19" s="41" t="s">
        <v>57</v>
      </c>
      <c r="AD19" s="91">
        <v>2.4066157727590668E-3</v>
      </c>
      <c r="AF19" s="96">
        <v>-0.13967115886540699</v>
      </c>
      <c r="AG19" s="97">
        <v>0.23422567966933133</v>
      </c>
      <c r="AH19" s="98">
        <v>-9.4554520803924402E-2</v>
      </c>
      <c r="AJ19" s="103">
        <v>-1.3010426069826053E-18</v>
      </c>
    </row>
    <row r="20" spans="1:36" x14ac:dyDescent="0.2">
      <c r="A20" s="36">
        <v>2</v>
      </c>
      <c r="B20" s="79" t="str">
        <f>_xll.qlMakeDatedOIS(,E20,F20,OvernightIndex,0,,,,EvaluationDate)</f>
        <v>obj_003bb#0000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41918</v>
      </c>
      <c r="F20" s="66">
        <f>_xll.qlInterestRateIndexMaturity($A$17,E20)</f>
        <v>42101</v>
      </c>
      <c r="G20" s="67">
        <f>_xll.qlQuoteValue(D20,AllTriggers)</f>
        <v>3.0700000000000007E-3</v>
      </c>
      <c r="H20" s="68">
        <f>_xll.qlOvernightIndexedSwapFairRate(B20,_xll.ohTrigger(C20,InterestRatesTrigger))</f>
        <v>6.8302988749176382E-4</v>
      </c>
      <c r="I20" s="69">
        <f t="shared" si="1"/>
        <v>2.3869701125082366E-3</v>
      </c>
      <c r="J20" s="36" t="b">
        <f t="shared" si="10"/>
        <v>1</v>
      </c>
      <c r="K20" s="68">
        <f>(I20-_xll.ohFilter($I$15:$I$18,$J$15:$J$18))/(P20-_xll.ohFilter($P$15:$P$18,$J$15:$J$18))</f>
        <v>-2.423910020552672E-8</v>
      </c>
      <c r="L20" s="68">
        <f>_xll.ohFilter($I$15:$I$18,$J$15:$J$18)-K20*_xll.ohFilter($P$15:$P$18,$J$15:$J$18)</f>
        <v>2.3944599944717444E-3</v>
      </c>
      <c r="M20" s="70"/>
      <c r="N20" s="71">
        <f t="shared" si="11"/>
        <v>63</v>
      </c>
      <c r="O20" s="71">
        <f t="shared" si="12"/>
        <v>246</v>
      </c>
      <c r="P20" s="70">
        <f t="shared" si="6"/>
        <v>309</v>
      </c>
      <c r="T20" s="72">
        <f t="shared" si="4"/>
        <v>26661</v>
      </c>
      <c r="U20" s="72">
        <f t="shared" si="5"/>
        <v>154.5</v>
      </c>
      <c r="V20" s="72">
        <v>1</v>
      </c>
      <c r="X20" s="83">
        <v>26661</v>
      </c>
      <c r="Y20" s="86">
        <v>154.5</v>
      </c>
      <c r="Z20" s="89">
        <v>1</v>
      </c>
      <c r="AB20" s="92">
        <v>2.1994914802987986E-3</v>
      </c>
      <c r="AD20" s="92">
        <v>2.3869701125082366E-3</v>
      </c>
      <c r="AF20" s="99">
        <v>8.1765363015020416</v>
      </c>
      <c r="AG20" s="100">
        <v>-10.804046025572047</v>
      </c>
      <c r="AH20" s="101">
        <v>3.627509724070006</v>
      </c>
      <c r="AJ20" s="104">
        <v>4.3368086899420177E-19</v>
      </c>
    </row>
    <row r="21" spans="1:36" x14ac:dyDescent="0.2">
      <c r="A21" s="36">
        <v>3</v>
      </c>
      <c r="B21" s="79" t="str">
        <f>_xll.qlMakeDatedOIS(,E21,F21,OvernightIndex,0,,,,EvaluationDate)</f>
        <v>obj_003bf#0000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41947</v>
      </c>
      <c r="F21" s="66">
        <f>_xll.qlInterestRateIndexMaturity($A$17,E21)</f>
        <v>42128</v>
      </c>
      <c r="G21" s="67">
        <f>_xll.qlQuoteValue(D21,AllTriggers)</f>
        <v>3.0500000000000006E-3</v>
      </c>
      <c r="H21" s="68">
        <f>_xll.qlOvernightIndexedSwapFairRate(B21,_xll.ohTrigger(C21,InterestRatesTrigger))</f>
        <v>6.4972134691327005E-4</v>
      </c>
      <c r="I21" s="69">
        <f t="shared" si="1"/>
        <v>2.4002786530867306E-3</v>
      </c>
      <c r="J21" s="36" t="b">
        <f t="shared" si="10"/>
        <v>1</v>
      </c>
      <c r="K21" s="68">
        <f>(I21-_xll.ohFilter($I$15:$I$18,$J$15:$J$18))/(P21-_xll.ohFilter($P$15:$P$18,$J$15:$J$18))</f>
        <v>5.6788138413276742E-8</v>
      </c>
      <c r="L21" s="68">
        <f>_xll.ohFilter($I$15:$I$18,$J$15:$J$18)-K21*_xll.ohFilter($P$15:$P$18,$J$15:$J$18)</f>
        <v>2.3795509825658844E-3</v>
      </c>
      <c r="M21" s="70"/>
      <c r="N21" s="71">
        <f t="shared" si="11"/>
        <v>92</v>
      </c>
      <c r="O21" s="71">
        <f t="shared" si="12"/>
        <v>273</v>
      </c>
      <c r="P21" s="70">
        <f t="shared" si="6"/>
        <v>365</v>
      </c>
      <c r="T21" s="72">
        <f t="shared" si="4"/>
        <v>36036.333333333328</v>
      </c>
      <c r="U21" s="72">
        <f t="shared" si="5"/>
        <v>182.5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obj_003c2#0000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41977</v>
      </c>
      <c r="F22" s="66">
        <f>_xll.qlInterestRateIndexMaturity($A$17,E22)</f>
        <v>42159</v>
      </c>
      <c r="G22" s="67">
        <f>_xll.qlQuoteValue(D22,AllTriggers)</f>
        <v>3.0200000000000005E-3</v>
      </c>
      <c r="H22" s="68">
        <f>_xll.qlOvernightIndexedSwapFairRate(B22,_xll.ohTrigger(C22,InterestRatesTrigger))</f>
        <v>5.8964234162240455E-4</v>
      </c>
      <c r="I22" s="69">
        <f t="shared" si="1"/>
        <v>2.4303576583775961E-3</v>
      </c>
      <c r="J22" s="36" t="b">
        <f t="shared" si="10"/>
        <v>1</v>
      </c>
      <c r="K22" s="68">
        <f>(I22-_xll.ohFilter($I$15:$I$18,$J$15:$J$18))/(P22-_xll.ohFilter($P$15:$P$18,$J$15:$J$18))</f>
        <v>1.667671832383001E-7</v>
      </c>
      <c r="L22" s="68">
        <f>_xll.ohFilter($I$15:$I$18,$J$15:$J$18)-K22*_xll.ohFilter($P$15:$P$18,$J$15:$J$18)</f>
        <v>2.3593148383180803E-3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obj_003c0#0000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42009</v>
      </c>
      <c r="F23" s="66">
        <f>_xll.qlInterestRateIndexMaturity($A$17,E23)</f>
        <v>42191</v>
      </c>
      <c r="G23" s="67">
        <f>_xll.qlQuoteValue(D23,AllTriggers)</f>
        <v>3.0000000000000005E-3</v>
      </c>
      <c r="H23" s="68">
        <f>_xll.qlOvernightIndexedSwapFairRate(B23,_xll.ohTrigger(C23,InterestRatesTrigger))</f>
        <v>5.4214766826426455E-4</v>
      </c>
      <c r="I23" s="69">
        <f t="shared" si="1"/>
        <v>2.4578523317357361E-3</v>
      </c>
      <c r="J23" s="36" t="b">
        <f t="shared" si="10"/>
        <v>1</v>
      </c>
      <c r="K23" s="68">
        <f>(I23-_xll.ohFilter($I$15:$I$18,$J$15:$J$18))/(P23-_xll.ohFilter($P$15:$P$18,$J$15:$J$18))</f>
        <v>2.2173964608434173E-7</v>
      </c>
      <c r="L23" s="68">
        <f>_xll.ohFilter($I$15:$I$18,$J$15:$J$18)-K23*_xll.ohFilter($P$15:$P$18,$J$15:$J$18)</f>
        <v>2.3491999051544086E-3</v>
      </c>
      <c r="M23" s="70"/>
      <c r="N23" s="71">
        <f t="shared" si="11"/>
        <v>154</v>
      </c>
      <c r="O23" s="71">
        <f t="shared" si="12"/>
        <v>336</v>
      </c>
      <c r="P23" s="70">
        <f t="shared" si="6"/>
        <v>490</v>
      </c>
      <c r="T23" s="72">
        <f t="shared" si="4"/>
        <v>62785.333333333328</v>
      </c>
      <c r="U23" s="72">
        <f t="shared" si="5"/>
        <v>245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obj_003c8#0000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42039</v>
      </c>
      <c r="F24" s="66">
        <f>_xll.qlInterestRateIndexMaturity($A$17,E24)</f>
        <v>42220</v>
      </c>
      <c r="G24" s="67">
        <f>_xll.qlQuoteValue(D24,AllTriggers)</f>
        <v>3.0000000000000005E-3</v>
      </c>
      <c r="H24" s="68">
        <f>_xll.qlOvernightIndexedSwapFairRate(B24,_xll.ohTrigger(C24,InterestRatesTrigger))</f>
        <v>5.2865874263953591E-4</v>
      </c>
      <c r="I24" s="69">
        <f t="shared" si="1"/>
        <v>2.4713412573604647E-3</v>
      </c>
      <c r="J24" s="36" t="b">
        <f t="shared" si="10"/>
        <v>1</v>
      </c>
      <c r="K24" s="68">
        <f>(I24-_xll.ohFilter($I$15:$I$18,$J$15:$J$18))/(P24-_xll.ohFilter($P$15:$P$18,$J$15:$J$18))</f>
        <v>2.228527597987321E-7</v>
      </c>
      <c r="L24" s="68">
        <f>_xll.ohFilter($I$15:$I$18,$J$15:$J$18)-K24*_xll.ohFilter($P$15:$P$18,$J$15:$J$18)</f>
        <v>2.3489950922309607E-3</v>
      </c>
      <c r="M24" s="70"/>
      <c r="N24" s="71">
        <f t="shared" si="11"/>
        <v>184</v>
      </c>
      <c r="O24" s="71">
        <f t="shared" si="12"/>
        <v>365</v>
      </c>
      <c r="P24" s="70">
        <f t="shared" si="6"/>
        <v>549</v>
      </c>
      <c r="T24" s="72">
        <f t="shared" si="4"/>
        <v>78080.333333333343</v>
      </c>
      <c r="U24" s="72">
        <f t="shared" si="5"/>
        <v>274.5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obj_003bd#0000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41855</v>
      </c>
      <c r="F25" s="47">
        <f>_xll.qlCalendarAdvance(Calendar,E25,A26,"mf")</f>
        <v>42220</v>
      </c>
      <c r="G25" s="48">
        <f>_xll.qlQuoteValue($D25,AllTriggers)</f>
        <v>4.8999999999999998E-3</v>
      </c>
      <c r="H25" s="49">
        <f>_xll.qlOvernightIndexedSwapFairRate(B25,_xll.ohTrigger(C25,InterestRatesTrigger))</f>
        <v>5.9999999992508982E-4</v>
      </c>
      <c r="I25" s="50">
        <f t="shared" si="1"/>
        <v>4.3000000000749097E-3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obj_00349#0004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41855</v>
      </c>
      <c r="F26" s="59">
        <f>_xll.qlInterestRateIndexMaturity(A27,E26)</f>
        <v>42220</v>
      </c>
      <c r="G26" s="60">
        <f>_xll.qlQuoteValue(D26,AllTriggers)</f>
        <v>4.8900000000000002E-3</v>
      </c>
      <c r="H26" s="61">
        <f>_xll.qlOvernightIndexedSwapFairRate(B26,_xll.ohTrigger(C26,InterestRatesTrigger))</f>
        <v>5.9999999992508982E-4</v>
      </c>
      <c r="I26" s="62">
        <f t="shared" si="1"/>
        <v>4.2900000000749101E-3</v>
      </c>
      <c r="J26" s="51" t="b">
        <f>NOT(ISERROR(I26))</f>
        <v>1</v>
      </c>
      <c r="K26" s="63">
        <f>K27</f>
        <v>2.3291058702376787E-7</v>
      </c>
      <c r="L26" s="61">
        <f>_xll.ohFilter($I$25:$I$26,$J$25:$J$26)-K26*_xll.ohFilter($P$25:$P$26,$J$25:$J$26)</f>
        <v>4.2049876358112347E-3</v>
      </c>
      <c r="M26" s="52"/>
      <c r="N26" s="53">
        <f t="shared" si="11"/>
        <v>0</v>
      </c>
      <c r="O26" s="53">
        <f t="shared" si="12"/>
        <v>365</v>
      </c>
      <c r="P26" s="52">
        <f t="shared" si="6"/>
        <v>365</v>
      </c>
      <c r="Q26" s="51"/>
      <c r="R26" s="51"/>
      <c r="S26" s="51"/>
      <c r="T26" s="54">
        <f t="shared" si="4"/>
        <v>44408.333333333328</v>
      </c>
      <c r="U26" s="54">
        <f t="shared" si="5"/>
        <v>182.5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obj_003c4#0000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42220</v>
      </c>
      <c r="F27" s="66">
        <f>_xll.qlInterestRateIndexMaturity(A27,E27)</f>
        <v>42586</v>
      </c>
      <c r="G27" s="67">
        <f>_xll.qlQuoteValue(D27,AllTriggers)</f>
        <v>5.3400000000000001E-3</v>
      </c>
      <c r="H27" s="68">
        <f>_xll.qlOvernightIndexedSwapFairRate(B27,_xll.ohTrigger(C27,InterestRatesTrigger))</f>
        <v>8.7974236081071581E-4</v>
      </c>
      <c r="I27" s="69">
        <f t="shared" si="1"/>
        <v>4.4602576391892844E-3</v>
      </c>
      <c r="J27" s="36" t="b">
        <f>NOT(ISERROR(I27))</f>
        <v>1</v>
      </c>
      <c r="K27" s="68">
        <f>(I27-_xll.ohFilter($I$25:$I$26,$J$25:$J$26))/(P27-_xll.ohFilter($P$25:$P$26,$J$25:$J$26))</f>
        <v>2.3291058702376787E-7</v>
      </c>
      <c r="L27" s="68">
        <f>_xll.ohFilter($I$25:$I$26,$J$25:$J$26)-K27*_xll.ohFilter($P$25:$P$26,$J$25:$J$26)</f>
        <v>4.2049876358112347E-3</v>
      </c>
      <c r="M27" s="70"/>
      <c r="N27" s="71">
        <f t="shared" si="11"/>
        <v>365</v>
      </c>
      <c r="O27" s="71">
        <f t="shared" si="12"/>
        <v>731</v>
      </c>
      <c r="P27" s="70">
        <f t="shared" si="6"/>
        <v>1096</v>
      </c>
      <c r="T27" s="72">
        <f t="shared" si="4"/>
        <v>311467</v>
      </c>
      <c r="U27" s="72">
        <f t="shared" si="5"/>
        <v>548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1.2503929435577998E-7</v>
      </c>
      <c r="U30" s="113">
        <f>AB18</f>
        <v>-1.7181403068983216E-8</v>
      </c>
    </row>
    <row r="31" spans="1:36" x14ac:dyDescent="0.2">
      <c r="E31" s="42"/>
      <c r="F31" s="42" t="s">
        <v>60</v>
      </c>
      <c r="G31" s="114">
        <f>_xll.ohFilter(I2:I3,J2:J3)</f>
        <v>3.0000000000121802E-4</v>
      </c>
      <c r="H31" s="115">
        <f>_xll.ohFilter(I6:I9,J6:J9)</f>
        <v>1.4100000000045812E-3</v>
      </c>
      <c r="I31" s="115">
        <f>_xll.ohFilter(I15:I18,J15:J18)</f>
        <v>2.3900000000339275E-3</v>
      </c>
      <c r="J31" s="116">
        <f>_xll.ohFilter(I25:I26,J25:J26)</f>
        <v>4.2900000000749101E-3</v>
      </c>
      <c r="M31" s="41" t="s">
        <v>47</v>
      </c>
      <c r="N31" s="105">
        <f>K4</f>
        <v>-9.3812572122109909E-7</v>
      </c>
      <c r="O31" s="105">
        <f>K9</f>
        <v>-6.704084717654571E-7</v>
      </c>
      <c r="P31" s="105">
        <f>AVERAGE(K19:K21)</f>
        <v>1.0472410157851154E-7</v>
      </c>
      <c r="Q31" s="105">
        <f>K26</f>
        <v>2.3291058702376787E-7</v>
      </c>
      <c r="R31" s="105"/>
      <c r="S31" s="117" t="s">
        <v>47</v>
      </c>
      <c r="T31" s="118">
        <f>AB10</f>
        <v>-1.6993727056929315E-5</v>
      </c>
      <c r="U31" s="69">
        <f>AB19</f>
        <v>4.1783302228582536E-6</v>
      </c>
    </row>
    <row r="32" spans="1:36" x14ac:dyDescent="0.2">
      <c r="E32" s="42"/>
      <c r="F32" s="42" t="s">
        <v>61</v>
      </c>
      <c r="G32" s="114">
        <f>IF(G31&lt;H31,G31,H31)</f>
        <v>3.0000000000121802E-4</v>
      </c>
      <c r="H32" s="115">
        <f>H31</f>
        <v>1.4100000000045812E-3</v>
      </c>
      <c r="I32" s="115">
        <f>IF(I31&lt;H31,H31,I31)</f>
        <v>2.3900000000339275E-3</v>
      </c>
      <c r="J32" s="116">
        <f>IF(J31&lt;I31,I31,J31)</f>
        <v>4.2900000000749101E-3</v>
      </c>
      <c r="M32" s="41" t="s">
        <v>48</v>
      </c>
      <c r="N32" s="105">
        <f>L4</f>
        <v>3.2908189735907209E-4</v>
      </c>
      <c r="O32" s="105">
        <f>L9</f>
        <v>1.4716775794070033E-3</v>
      </c>
      <c r="P32" s="105">
        <f>L18</f>
        <v>2.3707307653434814E-3</v>
      </c>
      <c r="Q32" s="105">
        <f>L26</f>
        <v>4.2049876358112347E-3</v>
      </c>
      <c r="R32" s="105"/>
      <c r="S32" s="117" t="s">
        <v>48</v>
      </c>
      <c r="T32" s="118">
        <f>AB11</f>
        <v>1.8389339154808873E-3</v>
      </c>
      <c r="U32" s="69">
        <f>AB20</f>
        <v>2.1994914802987986E-3</v>
      </c>
    </row>
    <row r="33" spans="2:2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</row>
    <row r="34" spans="2:21" x14ac:dyDescent="0.2">
      <c r="B34" s="43" t="str">
        <f>_xll.qlMakeDatedOIS(,E34,F34,OvernightIndex,0,,,,EvaluationDate)</f>
        <v>obj_003a9#0000</v>
      </c>
      <c r="C34" s="106" t="b">
        <f>_xll.qlInstrumentSetPricingEngine(B34,OisEngine)</f>
        <v>1</v>
      </c>
      <c r="D34" s="120" t="s">
        <v>66</v>
      </c>
      <c r="E34" s="121">
        <f t="shared" ref="E34:E49" si="13">SettlementDate</f>
        <v>41855</v>
      </c>
      <c r="F34" s="122">
        <f>_xll.qlCalendarAdvance(Calendar,SettlementDate,D34,"Following")</f>
        <v>41856</v>
      </c>
      <c r="G34" s="123">
        <f t="shared" ref="G34:J49" si="14">$L34+IF(G$30,G$32,N34)</f>
        <v>8.2814371604559829E-4</v>
      </c>
      <c r="H34" s="123">
        <f t="shared" si="14"/>
        <v>2.330478676124955E-3</v>
      </c>
      <c r="I34" s="123">
        <f t="shared" si="14"/>
        <v>2.701574862683619E-3</v>
      </c>
      <c r="J34" s="123">
        <f t="shared" si="14"/>
        <v>4.7052204908060056E-3</v>
      </c>
      <c r="K34" s="272">
        <f t="shared" ref="K34:K49" si="15">F34-SettlementDate</f>
        <v>1</v>
      </c>
      <c r="L34" s="125">
        <f>_xll.qlOvernightIndexedSwapFairRate(B34,_xll.ohTrigger(C34,InterestRatesTrigger))</f>
        <v>4.9999994440774731E-4</v>
      </c>
      <c r="N34" s="126">
        <f>N$31*$K34+N$32</f>
        <v>3.2814377163785098E-4</v>
      </c>
      <c r="O34" s="118">
        <f t="shared" ref="O34:P40" si="16">IF(O$30,T34,O$31*$K34+O$32)</f>
        <v>1.8304787317172078E-3</v>
      </c>
      <c r="P34" s="118">
        <f t="shared" si="16"/>
        <v>2.2015749182758716E-3</v>
      </c>
      <c r="Q34" s="69">
        <f t="shared" ref="Q34:Q49" si="17">Q$31*$K34+Q$32</f>
        <v>4.2052205463982582E-3</v>
      </c>
      <c r="R34" s="118"/>
      <c r="S34" s="127" t="s">
        <v>66</v>
      </c>
      <c r="T34" s="118">
        <f t="shared" ref="T34:U40" si="18">$K34*$K34/3*T$30+$K34/2*T$31+T$32</f>
        <v>1.8304787317172078E-3</v>
      </c>
      <c r="U34" s="69">
        <f t="shared" si="18"/>
        <v>2.2015749182758716E-3</v>
      </c>
    </row>
    <row r="35" spans="2:21" x14ac:dyDescent="0.2">
      <c r="B35" s="79" t="str">
        <f>_xll.qlMakeDatedOIS(,E35,F35,OvernightIndex,0,,,,EvaluationDate)</f>
        <v>obj_003b4#0000</v>
      </c>
      <c r="C35" s="70" t="b">
        <f>_xll.qlInstrumentSetPricingEngine(B35,OisEngine)</f>
        <v>1</v>
      </c>
      <c r="D35" s="128" t="s">
        <v>67</v>
      </c>
      <c r="E35" s="65">
        <f t="shared" si="13"/>
        <v>41855</v>
      </c>
      <c r="F35" s="129">
        <f>_xll.qlCalendarAdvance(Calendar,SettlementDate,D35,"Following")</f>
        <v>41862</v>
      </c>
      <c r="G35" s="123">
        <f t="shared" si="14"/>
        <v>7.0251500905790299E-4</v>
      </c>
      <c r="H35" s="123">
        <f t="shared" si="14"/>
        <v>2.1614981710034909E-3</v>
      </c>
      <c r="I35" s="123">
        <f t="shared" si="14"/>
        <v>2.5938349982427208E-3</v>
      </c>
      <c r="J35" s="123">
        <f t="shared" si="14"/>
        <v>4.5866180016677794E-3</v>
      </c>
      <c r="K35" s="130">
        <f t="shared" si="15"/>
        <v>7</v>
      </c>
      <c r="L35" s="131">
        <f>_xll.qlOvernightIndexedSwapFairRate(B35,_xll.ohTrigger(C35,InterestRatesTrigger))</f>
        <v>3.7999999174737856E-4</v>
      </c>
      <c r="N35" s="126">
        <f>N$31*$K35+N$32</f>
        <v>3.2251501731052438E-4</v>
      </c>
      <c r="O35" s="118">
        <f t="shared" si="16"/>
        <v>1.7814981792561124E-3</v>
      </c>
      <c r="P35" s="118">
        <f t="shared" si="16"/>
        <v>2.2138350064953424E-3</v>
      </c>
      <c r="Q35" s="69">
        <f t="shared" si="17"/>
        <v>4.2066180099204009E-3</v>
      </c>
      <c r="R35" s="118"/>
      <c r="S35" s="132" t="s">
        <v>67</v>
      </c>
      <c r="T35" s="118">
        <f t="shared" si="18"/>
        <v>1.7814981792561124E-3</v>
      </c>
      <c r="U35" s="69">
        <f t="shared" si="18"/>
        <v>2.2138350064953424E-3</v>
      </c>
    </row>
    <row r="36" spans="2:21" x14ac:dyDescent="0.2">
      <c r="B36" s="79" t="str">
        <f>_xll.qlMakeDatedOIS(,E36,F36,OvernightIndex,0,,,,EvaluationDate)</f>
        <v>obj_003ac#0000</v>
      </c>
      <c r="C36" s="70" t="b">
        <f>_xll.qlInstrumentSetPricingEngine(B36,OisEngine)</f>
        <v>1</v>
      </c>
      <c r="D36" s="128" t="s">
        <v>68</v>
      </c>
      <c r="E36" s="65">
        <f t="shared" si="13"/>
        <v>41855</v>
      </c>
      <c r="F36" s="129">
        <f>_xll.qlCalendarAdvance(Calendar,SettlementDate,D36,"Following")</f>
        <v>41869</v>
      </c>
      <c r="G36" s="123">
        <f t="shared" si="14"/>
        <v>7.7594811285251828E-4</v>
      </c>
      <c r="H36" s="123">
        <f t="shared" si="14"/>
        <v>2.1881470355708346E-3</v>
      </c>
      <c r="I36" s="123">
        <f t="shared" si="14"/>
        <v>2.6876172491155075E-3</v>
      </c>
      <c r="J36" s="123">
        <f t="shared" si="14"/>
        <v>4.6682483596201087E-3</v>
      </c>
      <c r="K36" s="130">
        <f t="shared" si="15"/>
        <v>14</v>
      </c>
      <c r="L36" s="131">
        <f>_xll.qlOvernightIndexedSwapFairRate(B36,_xll.ohTrigger(C36,InterestRatesTrigger))</f>
        <v>4.5999997559054156E-4</v>
      </c>
      <c r="N36" s="126">
        <f>N$31*$K36+N$32</f>
        <v>3.1594813726197672E-4</v>
      </c>
      <c r="O36" s="118">
        <f t="shared" si="16"/>
        <v>1.7281470599802931E-3</v>
      </c>
      <c r="P36" s="118">
        <f t="shared" si="16"/>
        <v>2.227617273524966E-3</v>
      </c>
      <c r="Q36" s="69">
        <f t="shared" si="17"/>
        <v>4.2082483840295672E-3</v>
      </c>
      <c r="R36" s="118"/>
      <c r="S36" s="132" t="s">
        <v>68</v>
      </c>
      <c r="T36" s="118">
        <f t="shared" si="18"/>
        <v>1.7281470599802931E-3</v>
      </c>
      <c r="U36" s="69">
        <f t="shared" si="18"/>
        <v>2.227617273524966E-3</v>
      </c>
    </row>
    <row r="37" spans="2:21" x14ac:dyDescent="0.2">
      <c r="B37" s="133" t="str">
        <f>_xll.qlMakeDatedOIS(,E37,F37,OvernightIndex,0,,,,EvaluationDate)</f>
        <v>obj_003b7#0000</v>
      </c>
      <c r="C37" s="134" t="b">
        <f>_xll.qlInstrumentSetPricingEngine(B37,OisEngine)</f>
        <v>1</v>
      </c>
      <c r="D37" s="135" t="s">
        <v>69</v>
      </c>
      <c r="E37" s="136">
        <f t="shared" si="13"/>
        <v>41855</v>
      </c>
      <c r="F37" s="137">
        <f>_xll.qlCalendarAdvance(Calendar,SettlementDate,D37,"Following")</f>
        <v>41876</v>
      </c>
      <c r="G37" s="138">
        <f t="shared" si="14"/>
        <v>8.0938125721099488E-4</v>
      </c>
      <c r="H37" s="138">
        <f t="shared" si="14"/>
        <v>2.1788805576509951E-3</v>
      </c>
      <c r="I37" s="138">
        <f t="shared" si="14"/>
        <v>2.7408382813852356E-3</v>
      </c>
      <c r="J37" s="138">
        <f t="shared" si="14"/>
        <v>4.7098787581362992E-3</v>
      </c>
      <c r="K37" s="139">
        <f t="shared" si="15"/>
        <v>21</v>
      </c>
      <c r="L37" s="140">
        <f>_xll.qlOvernightIndexedSwapFairRate(B37,_xll.ohTrigger(C37,InterestRatesTrigger))</f>
        <v>4.9999999999756587E-4</v>
      </c>
      <c r="N37" s="141">
        <f>N$31*$K37+N$32</f>
        <v>3.0938125721342901E-4</v>
      </c>
      <c r="O37" s="142">
        <f t="shared" si="16"/>
        <v>1.6788805576534293E-3</v>
      </c>
      <c r="P37" s="142">
        <f t="shared" si="16"/>
        <v>2.2408382813876699E-3</v>
      </c>
      <c r="Q37" s="143">
        <f t="shared" si="17"/>
        <v>4.2098787581387334E-3</v>
      </c>
      <c r="R37" s="142"/>
      <c r="S37" s="144" t="s">
        <v>69</v>
      </c>
      <c r="T37" s="142">
        <f t="shared" si="18"/>
        <v>1.6788805576534293E-3</v>
      </c>
      <c r="U37" s="143">
        <f t="shared" si="18"/>
        <v>2.2408382813876699E-3</v>
      </c>
    </row>
    <row r="38" spans="2:21" x14ac:dyDescent="0.2">
      <c r="B38" s="79" t="str">
        <f>_xll.qlMakeDatedOIS(,E38,F38,OvernightIndex,0,,,,EvaluationDate)</f>
        <v>obj_003a8#0000</v>
      </c>
      <c r="C38" s="70" t="b">
        <f>_xll.qlInstrumentSetPricingEngine(B38,OisEngine)</f>
        <v>1</v>
      </c>
      <c r="D38" s="128" t="s">
        <v>62</v>
      </c>
      <c r="E38" s="65">
        <f t="shared" si="13"/>
        <v>41855</v>
      </c>
      <c r="F38" s="129">
        <f>_xll.qlCalendarAdvance(Calendar,SettlementDate,D38,"mf",TRUE)</f>
        <v>41886</v>
      </c>
      <c r="G38" s="145">
        <f t="shared" si="14"/>
        <v>9.7999999999999997E-4</v>
      </c>
      <c r="H38" s="145">
        <f t="shared" si="14"/>
        <v>2.2955854000558996E-3</v>
      </c>
      <c r="I38" s="145">
        <f t="shared" si="14"/>
        <v>2.9387518226354522E-3</v>
      </c>
      <c r="J38" s="145">
        <f t="shared" si="14"/>
        <v>4.8922078640077533E-3</v>
      </c>
      <c r="K38" s="124">
        <f t="shared" si="15"/>
        <v>31</v>
      </c>
      <c r="L38" s="131">
        <f>_xll.qlOvernightIndexedSwapFairRate(B38,_xll.ohTrigger(C38,InterestRatesTrigger))</f>
        <v>6.7999999999878195E-4</v>
      </c>
      <c r="N38" s="126">
        <f>N$31*$K38+N$32</f>
        <v>3.0000000000121802E-4</v>
      </c>
      <c r="O38" s="118">
        <f t="shared" si="16"/>
        <v>1.6155854000571178E-3</v>
      </c>
      <c r="P38" s="118">
        <f t="shared" si="16"/>
        <v>2.2587518226366704E-3</v>
      </c>
      <c r="Q38" s="69">
        <f t="shared" si="17"/>
        <v>4.2122078640089711E-3</v>
      </c>
      <c r="R38" s="118"/>
      <c r="S38" s="132" t="s">
        <v>62</v>
      </c>
      <c r="T38" s="118">
        <f t="shared" si="18"/>
        <v>1.6155854000571178E-3</v>
      </c>
      <c r="U38" s="69">
        <f t="shared" si="18"/>
        <v>2.2587518226366704E-3</v>
      </c>
    </row>
    <row r="39" spans="2:21" x14ac:dyDescent="0.2">
      <c r="B39" s="79" t="str">
        <f>_xll.qlMakeDatedOIS(,E39,F39,OvernightIndex,0,,,,EvaluationDate)</f>
        <v>obj_003b5#0000</v>
      </c>
      <c r="C39" s="70" t="b">
        <f>_xll.qlInstrumentSetPricingEngine(B39,OisEngine)</f>
        <v>1</v>
      </c>
      <c r="D39" s="128" t="s">
        <v>70</v>
      </c>
      <c r="E39" s="65">
        <f t="shared" si="13"/>
        <v>41855</v>
      </c>
      <c r="F39" s="129">
        <f>_xll.qlCalendarAdvance(Calendar,SettlementDate,D39,"mf",TRUE)</f>
        <v>41918</v>
      </c>
      <c r="G39" s="146"/>
      <c r="H39" s="123">
        <f t="shared" si="14"/>
        <v>2.1790584996117029E-3</v>
      </c>
      <c r="I39" s="123">
        <f t="shared" si="14"/>
        <v>3.0183778860499609E-3</v>
      </c>
      <c r="J39" s="123">
        <f t="shared" si="14"/>
        <v>4.9296610027851238E-3</v>
      </c>
      <c r="K39" s="130">
        <f t="shared" si="15"/>
        <v>63</v>
      </c>
      <c r="L39" s="131">
        <f>_xll.qlOvernightIndexedSwapFairRate(B39,_xll.ohTrigger(C39,InterestRatesTrigger))</f>
        <v>7.099999999913921E-4</v>
      </c>
      <c r="N39" s="146"/>
      <c r="O39" s="118">
        <f t="shared" si="16"/>
        <v>1.4690584996203109E-3</v>
      </c>
      <c r="P39" s="118">
        <f t="shared" si="16"/>
        <v>2.3083778860585689E-3</v>
      </c>
      <c r="Q39" s="69">
        <f t="shared" si="17"/>
        <v>4.2196610027937318E-3</v>
      </c>
      <c r="R39" s="118"/>
      <c r="S39" s="132" t="s">
        <v>70</v>
      </c>
      <c r="T39" s="118">
        <f t="shared" si="18"/>
        <v>1.4690584996203109E-3</v>
      </c>
      <c r="U39" s="69">
        <f t="shared" si="18"/>
        <v>2.3083778860585689E-3</v>
      </c>
    </row>
    <row r="40" spans="2:21" x14ac:dyDescent="0.2">
      <c r="B40" s="79" t="str">
        <f>_xll.qlMakeDatedOIS(,E40,F40,OvernightIndex,0,,,,EvaluationDate)</f>
        <v>obj_003a6#0000</v>
      </c>
      <c r="C40" s="70" t="b">
        <f>_xll.qlInstrumentSetPricingEngine(B40,OisEngine)</f>
        <v>1</v>
      </c>
      <c r="D40" s="128" t="s">
        <v>63</v>
      </c>
      <c r="E40" s="65">
        <f t="shared" si="13"/>
        <v>41855</v>
      </c>
      <c r="F40" s="129">
        <f>_xll.qlCalendarAdvance(Calendar,SettlementDate,D40,"mf",TRUE)</f>
        <v>41947</v>
      </c>
      <c r="G40" s="147"/>
      <c r="H40" s="123">
        <f t="shared" si="14"/>
        <v>2.0899999999999981E-3</v>
      </c>
      <c r="I40" s="123">
        <f t="shared" si="14"/>
        <v>3.0232202053537389E-3</v>
      </c>
      <c r="J40" s="123">
        <f t="shared" si="14"/>
        <v>4.9064154098128398E-3</v>
      </c>
      <c r="K40" s="130">
        <f t="shared" si="15"/>
        <v>92</v>
      </c>
      <c r="L40" s="131">
        <f>_xll.qlOvernightIndexedSwapFairRate(B40,_xll.ohTrigger(C40,InterestRatesTrigger))</f>
        <v>6.7999999999541854E-4</v>
      </c>
      <c r="N40" s="147"/>
      <c r="O40" s="118">
        <f t="shared" si="16"/>
        <v>1.4100000000045795E-3</v>
      </c>
      <c r="P40" s="118">
        <f t="shared" si="16"/>
        <v>2.3432202053583202E-3</v>
      </c>
      <c r="Q40" s="69">
        <f t="shared" si="17"/>
        <v>4.2264154098174212E-3</v>
      </c>
      <c r="R40" s="118"/>
      <c r="S40" s="132" t="s">
        <v>63</v>
      </c>
      <c r="T40" s="118">
        <f t="shared" si="18"/>
        <v>1.4100000000045795E-3</v>
      </c>
      <c r="U40" s="69">
        <f t="shared" si="18"/>
        <v>2.3432202053583202E-3</v>
      </c>
    </row>
    <row r="41" spans="2:21" x14ac:dyDescent="0.2">
      <c r="B41" s="79" t="str">
        <f>_xll.qlMakeDatedOIS(,E41,F41,OvernightIndex,0,,,,EvaluationDate)</f>
        <v>obj_003ba#0000</v>
      </c>
      <c r="C41" s="70" t="b">
        <f>_xll.qlInstrumentSetPricingEngine(B41,OisEngine)</f>
        <v>1</v>
      </c>
      <c r="D41" s="128" t="s">
        <v>71</v>
      </c>
      <c r="E41" s="65">
        <f t="shared" si="13"/>
        <v>41855</v>
      </c>
      <c r="F41" s="129">
        <f>_xll.qlCalendarAdvance(Calendar,SettlementDate,D41,"mf",TRUE)</f>
        <v>41977</v>
      </c>
      <c r="G41" s="148"/>
      <c r="H41" s="149"/>
      <c r="I41" s="123">
        <f t="shared" si="14"/>
        <v>3.0591269561245273E-3</v>
      </c>
      <c r="J41" s="123">
        <f t="shared" si="14"/>
        <v>4.9234027274190914E-3</v>
      </c>
      <c r="K41" s="130">
        <f t="shared" si="15"/>
        <v>122</v>
      </c>
      <c r="L41" s="131">
        <f>_xll.qlOvernightIndexedSwapFairRate(B41,_xll.ohTrigger(C41,InterestRatesTrigger))</f>
        <v>6.899999999909574E-4</v>
      </c>
      <c r="N41" s="148"/>
      <c r="O41" s="149"/>
      <c r="P41" s="118">
        <f>IF(P$30,U41,P$31*$K41+P$32)</f>
        <v>2.3691269561335699E-3</v>
      </c>
      <c r="Q41" s="69">
        <f t="shared" si="17"/>
        <v>4.233402727428134E-3</v>
      </c>
      <c r="R41" s="118"/>
      <c r="S41" s="132" t="s">
        <v>71</v>
      </c>
      <c r="T41" s="149"/>
      <c r="U41" s="69">
        <f>$K41*$K41/3*U$30+$K41/2*U$31+U$32</f>
        <v>2.3691269561335699E-3</v>
      </c>
    </row>
    <row r="42" spans="2:21" x14ac:dyDescent="0.2">
      <c r="B42" s="79" t="str">
        <f>_xll.qlMakeDatedOIS(,E42,F42,OvernightIndex,0,,,,EvaluationDate)</f>
        <v>obj_003b1#0000</v>
      </c>
      <c r="C42" s="70" t="b">
        <f>_xll.qlInstrumentSetPricingEngine(B42,OisEngine)</f>
        <v>1</v>
      </c>
      <c r="D42" s="128" t="s">
        <v>72</v>
      </c>
      <c r="E42" s="65">
        <f t="shared" si="13"/>
        <v>41855</v>
      </c>
      <c r="F42" s="129">
        <f>_xll.qlCalendarAdvance(Calendar,SettlementDate,D42,"mf",TRUE)</f>
        <v>42009</v>
      </c>
      <c r="G42" s="148"/>
      <c r="H42" s="150"/>
      <c r="I42" s="123">
        <f t="shared" si="14"/>
        <v>3.0753981890402392E-3</v>
      </c>
      <c r="J42" s="123">
        <f t="shared" si="14"/>
        <v>4.9308558661889188E-3</v>
      </c>
      <c r="K42" s="130">
        <f t="shared" si="15"/>
        <v>154</v>
      </c>
      <c r="L42" s="131">
        <f>_xll.qlOvernightIndexedSwapFairRate(B42,_xll.ohTrigger(C42,InterestRatesTrigger))</f>
        <v>6.899999999760237E-4</v>
      </c>
      <c r="N42" s="148"/>
      <c r="O42" s="150"/>
      <c r="P42" s="118">
        <f>IF(P$30,U42,P$31*$K42+P$32)</f>
        <v>2.3853981890642156E-3</v>
      </c>
      <c r="Q42" s="69">
        <f t="shared" si="17"/>
        <v>4.2408558662128948E-3</v>
      </c>
      <c r="R42" s="118"/>
      <c r="S42" s="132" t="s">
        <v>72</v>
      </c>
      <c r="T42" s="150"/>
      <c r="U42" s="69">
        <f>$K42*$K42/3*U$30+$K42/2*U$31+U$32</f>
        <v>2.3853981890642156E-3</v>
      </c>
    </row>
    <row r="43" spans="2:21" x14ac:dyDescent="0.2">
      <c r="B43" s="79" t="str">
        <f>_xll.qlMakeDatedOIS(,E43,F43,OvernightIndex,0,,,,EvaluationDate)</f>
        <v>obj_003b8#0000</v>
      </c>
      <c r="C43" s="70" t="b">
        <f>_xll.qlInstrumentSetPricingEngine(B43,OisEngine)</f>
        <v>1</v>
      </c>
      <c r="D43" s="151" t="s">
        <v>64</v>
      </c>
      <c r="E43" s="65">
        <f t="shared" si="13"/>
        <v>41855</v>
      </c>
      <c r="F43" s="129">
        <f>_xll.qlCalendarAdvance(Calendar,SettlementDate,D43,"mf",TRUE)</f>
        <v>42039</v>
      </c>
      <c r="G43" s="148"/>
      <c r="H43" s="150"/>
      <c r="I43" s="123">
        <f t="shared" si="14"/>
        <v>3.0599999999999985E-3</v>
      </c>
      <c r="J43" s="123">
        <f t="shared" si="14"/>
        <v>4.9178431837896795E-3</v>
      </c>
      <c r="K43" s="130">
        <f t="shared" si="15"/>
        <v>184</v>
      </c>
      <c r="L43" s="131">
        <f>_xll.qlOvernightIndexedSwapFairRate(B43,_xll.ohTrigger(C43,InterestRatesTrigger))</f>
        <v>6.6999999996607219E-4</v>
      </c>
      <c r="N43" s="148"/>
      <c r="O43" s="150"/>
      <c r="P43" s="118">
        <f>IF(P$30,U43,P$31*$K43+P$32)</f>
        <v>2.3900000000339262E-3</v>
      </c>
      <c r="Q43" s="69">
        <f t="shared" si="17"/>
        <v>4.2478431838236077E-3</v>
      </c>
      <c r="R43" s="118"/>
      <c r="S43" s="152" t="s">
        <v>64</v>
      </c>
      <c r="T43" s="153"/>
      <c r="U43" s="143">
        <f>$K43*$K43/3*U$30+$K43/2*U$31+U$32</f>
        <v>2.3900000000339262E-3</v>
      </c>
    </row>
    <row r="44" spans="2:21" x14ac:dyDescent="0.2">
      <c r="B44" s="79" t="str">
        <f>_xll.qlMakeDatedOIS(,E44,F44,OvernightIndex,0,,,,EvaluationDate)</f>
        <v>obj_003aa#0000</v>
      </c>
      <c r="C44" s="70" t="b">
        <f>_xll.qlInstrumentSetPricingEngine(B44,OisEngine)</f>
        <v>1</v>
      </c>
      <c r="D44" s="151" t="s">
        <v>73</v>
      </c>
      <c r="E44" s="65">
        <f t="shared" si="13"/>
        <v>41855</v>
      </c>
      <c r="F44" s="129">
        <f>_xll.qlCalendarAdvance(Calendar,SettlementDate,D44,"mf",TRUE)</f>
        <v>42067</v>
      </c>
      <c r="G44" s="148"/>
      <c r="H44" s="154"/>
      <c r="I44" s="149"/>
      <c r="J44" s="123">
        <f t="shared" si="14"/>
        <v>4.9543646802007596E-3</v>
      </c>
      <c r="K44" s="130">
        <f t="shared" si="15"/>
        <v>212</v>
      </c>
      <c r="L44" s="131">
        <f>_xll.qlOvernightIndexedSwapFairRate(B44,_xll.ohTrigger(C44,InterestRatesTrigger))</f>
        <v>6.9999999994048608E-4</v>
      </c>
      <c r="N44" s="155" t="s">
        <v>74</v>
      </c>
      <c r="O44" s="156"/>
      <c r="P44" s="149"/>
      <c r="Q44" s="69">
        <f t="shared" si="17"/>
        <v>4.2543646802602735E-3</v>
      </c>
      <c r="R44" s="118"/>
      <c r="S44" s="118"/>
    </row>
    <row r="45" spans="2:21" x14ac:dyDescent="0.2">
      <c r="B45" s="79" t="str">
        <f>_xll.qlMakeDatedOIS(,E45,F45,OvernightIndex,0,,,,EvaluationDate)</f>
        <v>obj_003ae#0000</v>
      </c>
      <c r="C45" s="70" t="b">
        <f>_xll.qlInstrumentSetPricingEngine(B45,OisEngine)</f>
        <v>1</v>
      </c>
      <c r="D45" s="151" t="s">
        <v>75</v>
      </c>
      <c r="E45" s="65">
        <f t="shared" si="13"/>
        <v>41855</v>
      </c>
      <c r="F45" s="129">
        <f>_xll.qlCalendarAdvance(Calendar,SettlementDate,D45,"mf",TRUE)</f>
        <v>42101</v>
      </c>
      <c r="G45" s="148"/>
      <c r="H45" s="154"/>
      <c r="I45" s="150"/>
      <c r="J45" s="123">
        <f t="shared" si="14"/>
        <v>4.952283640110489E-3</v>
      </c>
      <c r="K45" s="130">
        <f t="shared" si="15"/>
        <v>246</v>
      </c>
      <c r="L45" s="131">
        <f>_xll.qlOvernightIndexedSwapFairRate(B45,_xll.ohTrigger(C45,InterestRatesTrigger))</f>
        <v>6.8999999989140747E-4</v>
      </c>
      <c r="N45" s="157"/>
      <c r="O45" s="158" t="s">
        <v>76</v>
      </c>
      <c r="P45" s="159"/>
      <c r="Q45" s="69">
        <f t="shared" si="17"/>
        <v>4.2622836402190813E-3</v>
      </c>
      <c r="R45" s="118"/>
      <c r="S45" s="118"/>
    </row>
    <row r="46" spans="2:21" x14ac:dyDescent="0.2">
      <c r="B46" s="79" t="str">
        <f>_xll.qlMakeDatedOIS(,E46,F46,OvernightIndex,0,,,,EvaluationDate)</f>
        <v>obj_003b9#0000</v>
      </c>
      <c r="C46" s="70" t="b">
        <f>_xll.qlInstrumentSetPricingEngine(B46,OisEngine)</f>
        <v>1</v>
      </c>
      <c r="D46" s="151" t="s">
        <v>77</v>
      </c>
      <c r="E46" s="65">
        <f t="shared" si="13"/>
        <v>41855</v>
      </c>
      <c r="F46" s="129">
        <f>_xll.qlCalendarAdvance(Calendar,SettlementDate,D46,"mf",TRUE)</f>
        <v>42128</v>
      </c>
      <c r="G46" s="148"/>
      <c r="H46" s="154"/>
      <c r="I46" s="150"/>
      <c r="J46" s="123">
        <f t="shared" si="14"/>
        <v>4.9285722260019836E-3</v>
      </c>
      <c r="K46" s="130">
        <f t="shared" si="15"/>
        <v>273</v>
      </c>
      <c r="L46" s="131">
        <f>_xll.qlOvernightIndexedSwapFairRate(B46,_xll.ohTrigger(C46,InterestRatesTrigger))</f>
        <v>6.5999999993325976E-4</v>
      </c>
      <c r="N46" s="148"/>
      <c r="O46" s="156"/>
      <c r="P46" s="160" t="s">
        <v>78</v>
      </c>
      <c r="Q46" s="69">
        <f t="shared" si="17"/>
        <v>4.2685722260687236E-3</v>
      </c>
      <c r="R46" s="118"/>
      <c r="S46" s="118"/>
    </row>
    <row r="47" spans="2:21" x14ac:dyDescent="0.2">
      <c r="B47" s="79" t="str">
        <f>_xll.qlMakeDatedOIS(,E47,F47,OvernightIndex,0,,,,EvaluationDate)</f>
        <v>obj_003ad#0000</v>
      </c>
      <c r="C47" s="70" t="b">
        <f>_xll.qlInstrumentSetPricingEngine(B47,OisEngine)</f>
        <v>1</v>
      </c>
      <c r="D47" s="151" t="s">
        <v>79</v>
      </c>
      <c r="E47" s="65">
        <f t="shared" si="13"/>
        <v>41855</v>
      </c>
      <c r="F47" s="129">
        <f>_xll.qlCalendarAdvance(Calendar,SettlementDate,D47,"mf",TRUE)</f>
        <v>42159</v>
      </c>
      <c r="G47" s="148"/>
      <c r="H47" s="154"/>
      <c r="I47" s="150"/>
      <c r="J47" s="123">
        <f t="shared" si="14"/>
        <v>4.9057924541891264E-3</v>
      </c>
      <c r="K47" s="130">
        <f t="shared" si="15"/>
        <v>304</v>
      </c>
      <c r="L47" s="131">
        <f>_xll.qlOvernightIndexedSwapFairRate(B47,_xll.ohTrigger(C47,InterestRatesTrigger))</f>
        <v>6.2999999992266616E-4</v>
      </c>
      <c r="N47" s="148"/>
      <c r="O47" s="154"/>
      <c r="P47" s="150"/>
      <c r="Q47" s="69">
        <f t="shared" si="17"/>
        <v>4.27579245426646E-3</v>
      </c>
      <c r="R47" s="118"/>
      <c r="S47" s="118"/>
    </row>
    <row r="48" spans="2:21" x14ac:dyDescent="0.2">
      <c r="B48" s="79" t="str">
        <f>_xll.qlMakeDatedOIS(,E48,F48,OvernightIndex,0,,,,EvaluationDate)</f>
        <v>obj_003b3#0000</v>
      </c>
      <c r="C48" s="70" t="b">
        <f>_xll.qlInstrumentSetPricingEngine(B48,OisEngine)</f>
        <v>1</v>
      </c>
      <c r="D48" s="151" t="s">
        <v>80</v>
      </c>
      <c r="E48" s="65">
        <f t="shared" si="13"/>
        <v>41855</v>
      </c>
      <c r="F48" s="129">
        <f>_xll.qlCalendarAdvance(Calendar,SettlementDate,D48,"mf",TRUE)</f>
        <v>42191</v>
      </c>
      <c r="G48" s="148"/>
      <c r="H48" s="154"/>
      <c r="I48" s="150"/>
      <c r="J48" s="123">
        <f t="shared" si="14"/>
        <v>4.8932455929732825E-3</v>
      </c>
      <c r="K48" s="130">
        <f t="shared" si="15"/>
        <v>336</v>
      </c>
      <c r="L48" s="131">
        <f>_xll.qlOvernightIndexedSwapFairRate(B48,_xll.ohTrigger(C48,InterestRatesTrigger))</f>
        <v>6.0999999992206178E-4</v>
      </c>
      <c r="N48" s="148"/>
      <c r="O48" s="154"/>
      <c r="P48" s="150"/>
      <c r="Q48" s="69">
        <f t="shared" si="17"/>
        <v>4.2832455930512207E-3</v>
      </c>
      <c r="R48" s="118"/>
      <c r="S48" s="118"/>
    </row>
    <row r="49" spans="2:19" x14ac:dyDescent="0.2">
      <c r="B49" s="133" t="str">
        <f>_xll.qlMakeDatedOIS(,E49,F49,OvernightIndex,0,,,,EvaluationDate)</f>
        <v>obj_003af#0000</v>
      </c>
      <c r="C49" s="134" t="b">
        <f>_xll.qlInstrumentSetPricingEngine(B49,OisEngine)</f>
        <v>1</v>
      </c>
      <c r="D49" s="151" t="s">
        <v>81</v>
      </c>
      <c r="E49" s="65">
        <f t="shared" si="13"/>
        <v>41855</v>
      </c>
      <c r="F49" s="129">
        <f>_xll.qlCalendarAdvance(Calendar,SettlementDate,D49,"mf",TRUE)</f>
        <v>42220</v>
      </c>
      <c r="G49" s="148"/>
      <c r="H49" s="154"/>
      <c r="I49" s="150"/>
      <c r="J49" s="123">
        <f t="shared" si="14"/>
        <v>4.8900000000000002E-3</v>
      </c>
      <c r="K49" s="130">
        <f t="shared" si="15"/>
        <v>365</v>
      </c>
      <c r="L49" s="131">
        <f>_xll.qlOvernightIndexedSwapFairRate(B49,_xll.ohTrigger(C49,InterestRatesTrigger))</f>
        <v>5.9999999992508982E-4</v>
      </c>
      <c r="N49" s="161"/>
      <c r="O49" s="162"/>
      <c r="P49" s="153"/>
      <c r="Q49" s="143">
        <f t="shared" si="17"/>
        <v>4.2900000000749101E-3</v>
      </c>
      <c r="R49" s="118"/>
      <c r="S49" s="118"/>
    </row>
    <row r="50" spans="2:19" x14ac:dyDescent="0.2">
      <c r="D50" s="106"/>
      <c r="E50" s="106"/>
      <c r="F50" s="106"/>
      <c r="G50" s="106"/>
      <c r="H50" s="106"/>
      <c r="I50" s="106"/>
      <c r="J50" s="106"/>
      <c r="K50" s="106"/>
      <c r="L50" s="106"/>
    </row>
    <row r="51" spans="2:19" x14ac:dyDescent="0.2">
      <c r="N51" s="163"/>
      <c r="O51" s="163"/>
      <c r="P51" s="163"/>
      <c r="Q51" s="163"/>
      <c r="R51" s="163"/>
      <c r="S51" s="163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369" t="s">
        <v>103</v>
      </c>
      <c r="C1" s="370"/>
      <c r="D1" s="370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str">
        <f>Contribution!$D$40</f>
        <v>EUR1YD_SYNTH1Y_Quote#0000</v>
      </c>
      <c r="F2" s="265" t="str">
        <f>_xll.qlDepositRateHelper(,E2,$F$10,)</f>
        <v>obj_003a7#0000</v>
      </c>
      <c r="G2" s="199">
        <f>_xll.qlRateHelperQuoteValue(F2,InterestRatesTrigger)</f>
        <v>4.8900000000000002E-3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41855</v>
      </c>
      <c r="L2" s="202">
        <f>_xll.qlRateHelperLatestDate($F2,InterestRatesTrigger)</f>
        <v>42220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obj_003b0#0000</v>
      </c>
      <c r="G3" s="205">
        <f>_xll.qlRateHelperQuoteValue(F3,InterestRatesTrigger)</f>
        <v>5.3400000000000001E-3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42220</v>
      </c>
      <c r="L3" s="208">
        <f>_xll.qlRateHelperLatestDate($F3,InterestRatesTrigger)</f>
        <v>42586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obj_003b6#0000</v>
      </c>
      <c r="G4" s="213">
        <f>_xll.qlRateHelperQuoteValue(F4,InterestRatesTrigger)</f>
        <v>5.8000000000000005E-3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41855</v>
      </c>
      <c r="L4" s="216">
        <f>_xll.qlRateHelperLatestDate($F4,InterestRatesTrigger)</f>
        <v>42951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obj_003b2#0000</v>
      </c>
      <c r="G5" s="220">
        <f>_xll.qlRateHelperQuoteValue(F5,InterestRatesTrigger)</f>
        <v>6.8700000000000002E-3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41855</v>
      </c>
      <c r="L5" s="223">
        <f>_xll.qlRateHelperLatestDate($F5,InterestRatesTrigger)</f>
        <v>43318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obj_003ab#0000</v>
      </c>
      <c r="G6" s="199">
        <f>_xll.qlRateHelperQuoteValue(F6,InterestRatesTrigger)</f>
        <v>8.1899999999999994E-3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41855</v>
      </c>
      <c r="L6" s="202">
        <f>_xll.qlRateHelperLatestDate($F6,InterestRatesTrigger)</f>
        <v>43682</v>
      </c>
    </row>
    <row r="10" spans="2:13" x14ac:dyDescent="0.2">
      <c r="F10" s="195" t="str">
        <f>_xll.qlEuribor(,IborTenor,,,EvaluationDate)</f>
        <v>obj_00379#0000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hidden="1" customWidth="1" outlineLevel="1"/>
    <col min="8" max="8" width="17.6640625" style="195" hidden="1" customWidth="1" outlineLevel="1"/>
    <col min="9" max="9" width="20.1640625" style="195" customWidth="1" collapsed="1"/>
    <col min="10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384" width="9.33203125" style="195"/>
  </cols>
  <sheetData>
    <row r="1" spans="1:16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16" x14ac:dyDescent="0.2">
      <c r="A2" s="228"/>
      <c r="B2" s="229"/>
      <c r="C2" s="230"/>
      <c r="D2" s="231">
        <f>SettlementDate</f>
        <v>41855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41851</v>
      </c>
      <c r="H2" s="195" t="str">
        <f>_xll.qlMakeDatedOIS(,I2,J2,OvernightIndex,0,"Act/360",0)</f>
        <v>obj_003fc#0000</v>
      </c>
      <c r="I2" s="233">
        <f>_xll.qlCalendarAdvance(Calendar,$D$2,F2&amp;"M","mf")</f>
        <v>41855</v>
      </c>
      <c r="J2" s="233">
        <f>_xll.qlInterestRateIndexMaturity(IborIndex,I2)</f>
        <v>42220</v>
      </c>
      <c r="K2" s="232">
        <f>_xll.qlIndexFixing(IborIndex,G2,TRUE,InterestRatesTrigger)</f>
        <v>4.8900000000002258E-3</v>
      </c>
      <c r="L2" s="232">
        <f>_xll.qlOvernightIndexedSwapFairRate(H2,Contribution!$P$25)</f>
        <v>5.9999999992508982E-4</v>
      </c>
      <c r="M2" s="209">
        <f>ROUND(K2-L2,6)</f>
        <v>4.2900000000000004E-3</v>
      </c>
      <c r="N2" s="232"/>
      <c r="O2" s="195" t="str">
        <f>_xll.qlSimpleQuote(,,,,EvaluationDate)</f>
        <v>obj_0039a#0000</v>
      </c>
      <c r="P2" s="232">
        <f>_xll.qlSimpleQuoteSetValue(O2,M2)</f>
        <v>0</v>
      </c>
    </row>
    <row r="3" spans="1:16" x14ac:dyDescent="0.2">
      <c r="A3" s="234" t="str">
        <f>RateHelpersFra!F2</f>
        <v>obj_003a7#0000</v>
      </c>
      <c r="B3" s="235">
        <f>_xll.qlRateHelperRate($A3,InterestRatesTrigger)</f>
        <v>4.8900000000000002E-3</v>
      </c>
      <c r="C3" s="236">
        <f>_xll.qlRateHelperEarliestDate($A3)</f>
        <v>41855</v>
      </c>
      <c r="D3" s="231">
        <f>_xll.qlRateHelperLatestDate($A3)</f>
        <v>42220</v>
      </c>
      <c r="E3" s="232">
        <v>0.9950665430020077</v>
      </c>
      <c r="F3" s="195">
        <v>12</v>
      </c>
      <c r="G3" s="233">
        <f>_xll.qlInterestRateIndexFixingDate(IborIndex,I3)</f>
        <v>42216</v>
      </c>
      <c r="H3" s="195" t="str">
        <f>_xll.qlMakeDatedOIS(,I3,J3,OvernightIndex,0,"Act/360",0)</f>
        <v>obj_003d0#0000</v>
      </c>
      <c r="I3" s="233">
        <f>_xll.qlCalendarAdvance(Calendar,$D$2,F3&amp;"M","mf")</f>
        <v>42220</v>
      </c>
      <c r="J3" s="233">
        <f>_xll.qlInterestRateIndexMaturity(IborIndex,I3)</f>
        <v>42586</v>
      </c>
      <c r="K3" s="232">
        <f>_xll.qlIndexFixing(IborIndex,G3,TRUE,InterestRatesTrigger)</f>
        <v>5.3399999999999082E-3</v>
      </c>
      <c r="L3" s="232">
        <f>_xll.qlOvernightIndexedSwapFairRate(H3,Contribution!$P$25)</f>
        <v>8.7974236081071581E-4</v>
      </c>
      <c r="M3" s="209">
        <f>ROUND(K3-L3,6)</f>
        <v>4.4600000000000004E-3</v>
      </c>
      <c r="N3" s="232"/>
      <c r="O3" s="195" t="str">
        <f>_xll.qlSimpleQuote(,,,,EvaluationDate)</f>
        <v>obj_00398#0000</v>
      </c>
      <c r="P3" s="232">
        <f>_xll.qlSimpleQuoteSetValue(O3,M3)</f>
        <v>0</v>
      </c>
    </row>
    <row r="4" spans="1:16" x14ac:dyDescent="0.2">
      <c r="A4" s="234" t="str">
        <f>RateHelpersFra!F3</f>
        <v>obj_003b0#0000</v>
      </c>
      <c r="B4" s="235">
        <f>_xll.qlRateHelperRate($A4,InterestRatesTrigger)</f>
        <v>5.3400000000000001E-3</v>
      </c>
      <c r="C4" s="236">
        <f>_xll.qlRateHelperEarliestDate($A4)</f>
        <v>42220</v>
      </c>
      <c r="D4" s="231">
        <f>_xll.qlRateHelperLatestDate($A4)</f>
        <v>42586</v>
      </c>
      <c r="E4" s="232">
        <v>0.98969349700675802</v>
      </c>
      <c r="F4" s="195">
        <v>24</v>
      </c>
      <c r="G4" s="233">
        <f>_xll.qlInterestRateIndexFixingDate(IborIndex,I4)</f>
        <v>42584</v>
      </c>
      <c r="H4" s="195" t="str">
        <f>_xll.qlMakeDatedOIS(,I4,J4,OvernightIndex,0,"Act/360",0)</f>
        <v>obj_003e6#0000</v>
      </c>
      <c r="I4" s="233">
        <f>_xll.qlCalendarAdvance(Calendar,$D$2,F4&amp;"M","mf")</f>
        <v>42586</v>
      </c>
      <c r="J4" s="233">
        <f>_xll.qlInterestRateIndexMaturity(IborIndex,I4)</f>
        <v>42951</v>
      </c>
      <c r="K4" s="232">
        <f>_xll.qlIndexFixing(IborIndex,G4,TRUE,InterestRatesTrigger)</f>
        <v>6.9206998476178862E-3</v>
      </c>
      <c r="L4" s="232">
        <f>_xll.qlOvernightIndexedSwapFairRate(H4,Contribution!$P$25)</f>
        <v>2.4247936044702735E-3</v>
      </c>
      <c r="M4" s="209">
        <f>ROUND(K4-L4,6)</f>
        <v>4.496E-3</v>
      </c>
      <c r="N4" s="232"/>
      <c r="O4" s="195" t="str">
        <f>_xll.qlSimpleQuote(,,,,EvaluationDate)</f>
        <v>obj_0037c#0000</v>
      </c>
      <c r="P4" s="232">
        <f>_xll.qlSimpleQuoteSetValue(O4,M4)</f>
        <v>0</v>
      </c>
    </row>
    <row r="5" spans="1:16" x14ac:dyDescent="0.2">
      <c r="A5" s="234" t="str">
        <f>RateHelpersFra!F4</f>
        <v>obj_003b6#0000</v>
      </c>
      <c r="B5" s="235">
        <f>_xll.qlRateHelperRate($A5,InterestRatesTrigger)</f>
        <v>5.8000000000000005E-3</v>
      </c>
      <c r="C5" s="236">
        <f>_xll.qlRateHelperEarliestDate($A5)</f>
        <v>41855</v>
      </c>
      <c r="D5" s="231">
        <f>_xll.qlRateHelperLatestDate($A5)</f>
        <v>42951</v>
      </c>
      <c r="E5" s="232">
        <v>0.98279738399960481</v>
      </c>
      <c r="F5" s="195">
        <v>36</v>
      </c>
      <c r="G5" s="233">
        <f>_xll.qlInterestRateIndexFixingDate(IborIndex,I5)</f>
        <v>42949</v>
      </c>
      <c r="H5" s="195" t="str">
        <f>_xll.qlMakeDatedOIS(,I5,J5,OvernightIndex,0,"Act/360",0)</f>
        <v>obj_003e9#0000</v>
      </c>
      <c r="I5" s="233">
        <f>_xll.qlCalendarAdvance(Calendar,$D$2,F5&amp;"M","mf")</f>
        <v>42951</v>
      </c>
      <c r="J5" s="233">
        <f>_xll.qlInterestRateIndexMaturity(IborIndex,I5)</f>
        <v>43318</v>
      </c>
      <c r="K5" s="232">
        <f>_xll.qlIndexFixing(IborIndex,G5,TRUE,InterestRatesTrigger)</f>
        <v>9.947317562209422E-3</v>
      </c>
      <c r="L5" s="232">
        <f>_xll.qlOvernightIndexedSwapFairRate(H5,Contribution!$P$25)</f>
        <v>4.9867859252516666E-3</v>
      </c>
      <c r="M5" s="209">
        <f>ROUND(K5-L5,6)</f>
        <v>4.9610000000000001E-3</v>
      </c>
      <c r="N5" s="232"/>
      <c r="O5" s="195" t="str">
        <f>_xll.qlSimpleQuote(,,,,EvaluationDate)</f>
        <v>obj_00382#0000</v>
      </c>
      <c r="P5" s="232">
        <f>_xll.qlSimpleQuoteSetValue(O5,M5)</f>
        <v>0</v>
      </c>
    </row>
    <row r="6" spans="1:16" x14ac:dyDescent="0.2">
      <c r="A6" s="234" t="str">
        <f>RateHelpersFra!F5</f>
        <v>obj_003b2#0000</v>
      </c>
      <c r="B6" s="235">
        <f>_xll.qlRateHelperRate($A6,InterestRatesTrigger)</f>
        <v>6.8700000000000002E-3</v>
      </c>
      <c r="C6" s="236">
        <f>_xll.qlRateHelperEarliestDate($A6)</f>
        <v>41855</v>
      </c>
      <c r="D6" s="231">
        <f>_xll.qlRateHelperLatestDate($A6)</f>
        <v>43318</v>
      </c>
      <c r="E6" s="232">
        <v>0.97293114453479246</v>
      </c>
      <c r="F6" s="195">
        <v>48</v>
      </c>
      <c r="G6" s="233">
        <f>_xll.qlInterestRateIndexFixingDate(IborIndex,I6)</f>
        <v>43314</v>
      </c>
      <c r="H6" s="195" t="str">
        <f>_xll.qlMakeDatedOIS(,I6,J6,OvernightIndex,0,"Act/360",0)</f>
        <v>obj_003e1#0000</v>
      </c>
      <c r="I6" s="233">
        <f>_xll.qlCalendarAdvance(Calendar,$D$2,F6&amp;"M","mf")</f>
        <v>43318</v>
      </c>
      <c r="J6" s="233">
        <f>_xll.qlInterestRateIndexMaturity(IborIndex,I6)</f>
        <v>43683</v>
      </c>
      <c r="K6" s="232">
        <f>_xll.qlIndexFixing(IborIndex,G6,TRUE,InterestRatesTrigger)</f>
        <v>1.3380676113824817E-2</v>
      </c>
      <c r="L6" s="232">
        <f>_xll.qlOvernightIndexedSwapFairRate(H6,Contribution!$P$25)</f>
        <v>8.3142774738503723E-3</v>
      </c>
      <c r="M6" s="209">
        <f>ROUND(K6-L6,6)</f>
        <v>5.0660000000000002E-3</v>
      </c>
      <c r="N6" s="232"/>
      <c r="O6" s="195" t="str">
        <f>_xll.qlSimpleQuote(,,,,EvaluationDate)</f>
        <v>obj_00388#0000</v>
      </c>
      <c r="P6" s="232">
        <f>_xll.qlSimpleQuoteSetValue(O6,M6)</f>
        <v>0</v>
      </c>
    </row>
    <row r="7" spans="1:16" x14ac:dyDescent="0.2">
      <c r="A7" s="234" t="str">
        <f>RateHelpersFra!F6</f>
        <v>obj_003ab#0000</v>
      </c>
      <c r="B7" s="235">
        <f>_xll.qlRateHelperRate($A7,InterestRatesTrigger)</f>
        <v>8.1899999999999994E-3</v>
      </c>
      <c r="C7" s="236">
        <f>_xll.qlRateHelperEarliestDate($A7)</f>
        <v>41855</v>
      </c>
      <c r="D7" s="231">
        <f>_xll.qlRateHelperLatestDate($A7)</f>
        <v>43682</v>
      </c>
      <c r="E7" s="232">
        <v>0.95994587642995011</v>
      </c>
      <c r="G7" s="233"/>
      <c r="I7" s="233"/>
      <c r="J7" s="233"/>
      <c r="K7" s="232"/>
      <c r="L7" s="232"/>
      <c r="M7" s="209"/>
    </row>
    <row r="8" spans="1:16" x14ac:dyDescent="0.2">
      <c r="A8" s="234"/>
      <c r="B8" s="235"/>
      <c r="C8" s="236"/>
      <c r="D8" s="231"/>
      <c r="E8" s="232" t="e">
        <v>#N/A</v>
      </c>
      <c r="F8" s="195">
        <v>1</v>
      </c>
      <c r="G8" s="233">
        <f>_xll.qlInterestRateIndexFixingDate(IborIndex,I8)</f>
        <v>41884</v>
      </c>
      <c r="H8" s="195" t="str">
        <f>_xll.qlMakeDatedOIS(,I8,J8,OvernightIndex,0,"Act/360",0)</f>
        <v>obj_003e2#0000</v>
      </c>
      <c r="I8" s="233">
        <f>_xll.qlCalendarAdvance(Calendar,$D$2,F8&amp;"M","mf")</f>
        <v>41886</v>
      </c>
      <c r="J8" s="233">
        <f>_xll.qlInterestRateIndexMaturity(IborIndex,I8)</f>
        <v>42251</v>
      </c>
      <c r="L8" s="232">
        <f>_xll.qlOvernightIndexedSwapFairRate(H8,_xll.ohTrigger($P$2:$P$6))</f>
        <v>5.8319572738044353E-4</v>
      </c>
      <c r="M8" s="209">
        <f>_xll.qlInterpolationInterpolate(BasisInterpolator,I8,,L8)</f>
        <v>4.3105888941423571E-3</v>
      </c>
      <c r="N8" s="232">
        <f>L8+M8</f>
        <v>4.8937846215228002E-3</v>
      </c>
    </row>
    <row r="9" spans="1:16" x14ac:dyDescent="0.2">
      <c r="A9" s="234"/>
      <c r="B9" s="235"/>
      <c r="C9" s="236"/>
      <c r="D9" s="231"/>
      <c r="E9" s="232" t="e">
        <v>#N/A</v>
      </c>
      <c r="F9" s="195">
        <v>2</v>
      </c>
      <c r="G9" s="233">
        <f>_xll.qlInterestRateIndexFixingDate(IborIndex,I9)</f>
        <v>41914</v>
      </c>
      <c r="H9" s="195" t="str">
        <f>_xll.qlMakeDatedOIS(,I9,J9,OvernightIndex,0,"Act/360",0)</f>
        <v>obj_003df#0000</v>
      </c>
      <c r="I9" s="233">
        <f>_xll.qlCalendarAdvance(Calendar,$D$2,F9&amp;"M","mf")</f>
        <v>41918</v>
      </c>
      <c r="J9" s="233">
        <f>_xll.qlInterestRateIndexMaturity(IborIndex,I9)</f>
        <v>42283</v>
      </c>
      <c r="L9" s="232">
        <f>_xll.qlOvernightIndexedSwapFairRate(H9,_xll.ohTrigger($P$2:$P$6))</f>
        <v>5.6139729479532134E-4</v>
      </c>
      <c r="M9" s="209">
        <f>_xll.qlInterpolationInterpolate(BasisInterpolator,I9,,L9)</f>
        <v>4.3315576780520665E-3</v>
      </c>
      <c r="N9" s="232">
        <f t="shared" ref="N9:N51" si="0">L9+M9</f>
        <v>4.8929549728473874E-3</v>
      </c>
    </row>
    <row r="10" spans="1:16" x14ac:dyDescent="0.2">
      <c r="A10" s="234"/>
      <c r="B10" s="235"/>
      <c r="C10" s="236"/>
      <c r="D10" s="231"/>
      <c r="E10" s="232" t="e">
        <v>#N/A</v>
      </c>
      <c r="F10" s="195">
        <v>3</v>
      </c>
      <c r="G10" s="233">
        <f>_xll.qlInterestRateIndexFixingDate(IborIndex,I10)</f>
        <v>41943</v>
      </c>
      <c r="H10" s="195" t="str">
        <f>_xll.qlMakeDatedOIS(,I10,J10,OvernightIndex,0,"Act/360",0)</f>
        <v>obj_003f5#0000</v>
      </c>
      <c r="I10" s="233">
        <f>_xll.qlCalendarAdvance(Calendar,$D$2,F10&amp;"M","mf")</f>
        <v>41947</v>
      </c>
      <c r="J10" s="233">
        <f>_xll.qlInterestRateIndexMaturity(IborIndex,I10)</f>
        <v>42312</v>
      </c>
      <c r="L10" s="232">
        <f>_xll.qlOvernightIndexedSwapFairRate(H10,_xll.ohTrigger($P$2:$P$6))</f>
        <v>5.5477231971961247E-4</v>
      </c>
      <c r="M10" s="209">
        <f>_xll.qlInterpolationInterpolate(BasisInterpolator,I10,,L10)</f>
        <v>4.3500670664468775E-3</v>
      </c>
      <c r="N10" s="232">
        <f t="shared" si="0"/>
        <v>4.9048393861664897E-3</v>
      </c>
    </row>
    <row r="11" spans="1:16" x14ac:dyDescent="0.2">
      <c r="A11" s="234"/>
      <c r="B11" s="235"/>
      <c r="C11" s="236"/>
      <c r="D11" s="231"/>
      <c r="E11" s="232" t="e">
        <v>#N/A</v>
      </c>
      <c r="F11" s="195">
        <v>4</v>
      </c>
      <c r="G11" s="233">
        <f>_xll.qlInterestRateIndexFixingDate(IborIndex,I11)</f>
        <v>41975</v>
      </c>
      <c r="H11" s="195" t="str">
        <f>_xll.qlMakeDatedOIS(,I11,J11,OvernightIndex,0,"Act/360",0)</f>
        <v>obj_003de#0000</v>
      </c>
      <c r="I11" s="233">
        <f>_xll.qlCalendarAdvance(Calendar,$D$2,F11&amp;"M","mf")</f>
        <v>41977</v>
      </c>
      <c r="J11" s="233">
        <f>_xll.qlInterestRateIndexMaturity(IborIndex,I11)</f>
        <v>42342</v>
      </c>
      <c r="L11" s="232">
        <f>_xll.qlOvernightIndexedSwapFairRate(H11,_xll.ohTrigger($P$2:$P$6))</f>
        <v>5.4487020110172461E-4</v>
      </c>
      <c r="M11" s="209">
        <f>_xll.qlInterpolationInterpolate(BasisInterpolator,I11,,L11)</f>
        <v>4.3684792432872365E-3</v>
      </c>
      <c r="N11" s="232">
        <f t="shared" si="0"/>
        <v>4.9133494443889614E-3</v>
      </c>
    </row>
    <row r="12" spans="1:16" x14ac:dyDescent="0.2">
      <c r="A12" s="234"/>
      <c r="B12" s="235"/>
      <c r="C12" s="236"/>
      <c r="D12" s="231"/>
      <c r="E12" s="232" t="e">
        <v>#N/A</v>
      </c>
      <c r="F12" s="195">
        <v>5</v>
      </c>
      <c r="G12" s="233">
        <f>_xll.qlInterestRateIndexFixingDate(IborIndex,I12)</f>
        <v>42004</v>
      </c>
      <c r="H12" s="195" t="str">
        <f>_xll.qlMakeDatedOIS(,I12,J12,OvernightIndex,0,"Act/360",0)</f>
        <v>obj_003d4#0000</v>
      </c>
      <c r="I12" s="233">
        <f>_xll.qlCalendarAdvance(Calendar,$D$2,F12&amp;"M","mf")</f>
        <v>42009</v>
      </c>
      <c r="J12" s="233">
        <f>_xll.qlInterestRateIndexMaturity(IborIndex,I12)</f>
        <v>42374</v>
      </c>
      <c r="L12" s="232">
        <f>_xll.qlOvernightIndexedSwapFairRate(H12,_xll.ohTrigger($P$2:$P$6))</f>
        <v>5.4515858353242693E-4</v>
      </c>
      <c r="M12" s="209">
        <f>_xll.qlInterpolationInterpolate(BasisInterpolator,I12,,L12)</f>
        <v>4.3870236839336973E-3</v>
      </c>
      <c r="N12" s="232">
        <f t="shared" si="0"/>
        <v>4.9321822674661241E-3</v>
      </c>
    </row>
    <row r="13" spans="1:16" x14ac:dyDescent="0.2">
      <c r="A13" s="234"/>
      <c r="B13" s="235"/>
      <c r="C13" s="236"/>
      <c r="D13" s="231"/>
      <c r="E13" s="232" t="e">
        <v>#N/A</v>
      </c>
      <c r="F13" s="195">
        <v>6</v>
      </c>
      <c r="G13" s="233">
        <f>_xll.qlInterestRateIndexFixingDate(IborIndex,I13)</f>
        <v>42037</v>
      </c>
      <c r="H13" s="195" t="str">
        <f>_xll.qlMakeDatedOIS(,I13,J13,OvernightIndex,0,"Act/360",0)</f>
        <v>obj_003f2#0000</v>
      </c>
      <c r="I13" s="233">
        <f>_xll.qlCalendarAdvance(Calendar,$D$2,F13&amp;"M","mf")</f>
        <v>42039</v>
      </c>
      <c r="J13" s="233">
        <f>_xll.qlInterestRateIndexMaturity(IborIndex,I13)</f>
        <v>42404</v>
      </c>
      <c r="L13" s="232">
        <f>_xll.qlOvernightIndexedSwapFairRate(H13,_xll.ohTrigger($P$2:$P$6))</f>
        <v>5.6470294938176563E-4</v>
      </c>
      <c r="M13" s="209">
        <f>_xll.qlInterpolationInterpolate(BasisInterpolator,I13,,L13)</f>
        <v>4.4031256423718778E-3</v>
      </c>
      <c r="N13" s="232">
        <f t="shared" si="0"/>
        <v>4.9678285917536431E-3</v>
      </c>
    </row>
    <row r="14" spans="1:16" x14ac:dyDescent="0.2">
      <c r="A14" s="234"/>
      <c r="B14" s="235"/>
      <c r="C14" s="236"/>
      <c r="D14" s="231"/>
      <c r="E14" s="232" t="e">
        <v>#N/A</v>
      </c>
      <c r="F14" s="195">
        <v>7</v>
      </c>
      <c r="G14" s="233">
        <f>_xll.qlInterestRateIndexFixingDate(IborIndex,I14)</f>
        <v>42065</v>
      </c>
      <c r="H14" s="195" t="str">
        <f>_xll.qlMakeDatedOIS(,I14,J14,OvernightIndex,0,"Act/360",0)</f>
        <v>obj_003f8#0000</v>
      </c>
      <c r="I14" s="233">
        <f>_xll.qlCalendarAdvance(Calendar,$D$2,F14&amp;"M","mf")</f>
        <v>42067</v>
      </c>
      <c r="J14" s="233">
        <f>_xll.qlInterestRateIndexMaturity(IborIndex,I14)</f>
        <v>42433</v>
      </c>
      <c r="L14" s="232">
        <f>_xll.qlOvernightIndexedSwapFairRate(H14,_xll.ohTrigger($P$2:$P$6))</f>
        <v>5.6768791027765456E-4</v>
      </c>
      <c r="M14" s="209">
        <f>_xll.qlInterpolationInterpolate(BasisInterpolator,I14,,L14)</f>
        <v>4.4168142798438814E-3</v>
      </c>
      <c r="N14" s="232">
        <f t="shared" si="0"/>
        <v>4.9845021901215357E-3</v>
      </c>
    </row>
    <row r="15" spans="1:16" x14ac:dyDescent="0.2">
      <c r="A15" s="234"/>
      <c r="B15" s="235"/>
      <c r="C15" s="236"/>
      <c r="D15" s="231"/>
      <c r="E15" s="232" t="e">
        <v>#N/A</v>
      </c>
      <c r="F15" s="195">
        <v>8</v>
      </c>
      <c r="G15" s="233">
        <f>_xll.qlInterestRateIndexFixingDate(IborIndex,I15)</f>
        <v>42095</v>
      </c>
      <c r="H15" s="195" t="str">
        <f>_xll.qlMakeDatedOIS(,I15,J15,OvernightIndex,0,"Act/360",0)</f>
        <v>obj_003d5#0000</v>
      </c>
      <c r="I15" s="233">
        <f>_xll.qlCalendarAdvance(Calendar,$D$2,F15&amp;"M","mf")</f>
        <v>42101</v>
      </c>
      <c r="J15" s="233">
        <f>_xll.qlInterestRateIndexMaturity(IborIndex,I15)</f>
        <v>42467</v>
      </c>
      <c r="L15" s="232">
        <f>_xll.qlOvernightIndexedSwapFairRate(H15,_xll.ohTrigger($P$2:$P$6))</f>
        <v>6.0558330704620512E-4</v>
      </c>
      <c r="M15" s="209">
        <f>_xll.qlInterpolationInterpolate(BasisInterpolator,I15,,L15)</f>
        <v>4.4314061063038517E-3</v>
      </c>
      <c r="N15" s="232">
        <f t="shared" si="0"/>
        <v>5.0369894133500568E-3</v>
      </c>
    </row>
    <row r="16" spans="1:16" x14ac:dyDescent="0.2">
      <c r="A16" s="234"/>
      <c r="B16" s="235"/>
      <c r="C16" s="236"/>
      <c r="D16" s="231"/>
      <c r="E16" s="232" t="e">
        <v>#N/A</v>
      </c>
      <c r="F16" s="195">
        <v>9</v>
      </c>
      <c r="G16" s="233">
        <f>_xll.qlInterestRateIndexFixingDate(IborIndex,I16)</f>
        <v>42123</v>
      </c>
      <c r="H16" s="195" t="str">
        <f>_xll.qlMakeDatedOIS(,I16,J16,OvernightIndex,0,"Act/360",0)</f>
        <v>obj_003dc#0000</v>
      </c>
      <c r="I16" s="233">
        <f>_xll.qlCalendarAdvance(Calendar,$D$2,F16&amp;"M","mf")</f>
        <v>42128</v>
      </c>
      <c r="J16" s="233">
        <f>_xll.qlInterestRateIndexMaturity(IborIndex,I16)</f>
        <v>42494</v>
      </c>
      <c r="L16" s="232">
        <f>_xll.qlOvernightIndexedSwapFairRate(H16,_xll.ohTrigger($P$2:$P$6))</f>
        <v>6.6004034680117825E-4</v>
      </c>
      <c r="M16" s="209">
        <f>_xll.qlInterpolationInterpolate(BasisInterpolator,I16,,L16)</f>
        <v>4.4411877207726647E-3</v>
      </c>
      <c r="N16" s="232">
        <f t="shared" si="0"/>
        <v>5.1012280675738434E-3</v>
      </c>
    </row>
    <row r="17" spans="1:14" x14ac:dyDescent="0.2">
      <c r="A17" s="234"/>
      <c r="B17" s="235"/>
      <c r="C17" s="236"/>
      <c r="D17" s="231"/>
      <c r="E17" s="232" t="e">
        <v>#N/A</v>
      </c>
      <c r="F17" s="195">
        <v>10</v>
      </c>
      <c r="G17" s="233">
        <f>_xll.qlInterestRateIndexFixingDate(IborIndex,I17)</f>
        <v>42157</v>
      </c>
      <c r="H17" s="195" t="str">
        <f>_xll.qlMakeDatedOIS(,I17,J17,OvernightIndex,0,"Act/360",0)</f>
        <v>obj_003f4#0000</v>
      </c>
      <c r="I17" s="233">
        <f>_xll.qlCalendarAdvance(Calendar,$D$2,F17&amp;"M","mf")</f>
        <v>42159</v>
      </c>
      <c r="J17" s="233">
        <f>_xll.qlInterestRateIndexMaturity(IborIndex,I17)</f>
        <v>42527</v>
      </c>
      <c r="L17" s="232">
        <f>_xll.qlOvernightIndexedSwapFairRate(H17,_xll.ohTrigger($P$2:$P$6))</f>
        <v>7.3330413497549687E-4</v>
      </c>
      <c r="M17" s="209">
        <f>_xll.qlInterpolationInterpolate(BasisInterpolator,I17,,L17)</f>
        <v>4.4501987377632357E-3</v>
      </c>
      <c r="N17" s="232">
        <f t="shared" si="0"/>
        <v>5.1835028727387324E-3</v>
      </c>
    </row>
    <row r="18" spans="1:14" x14ac:dyDescent="0.2">
      <c r="A18" s="234"/>
      <c r="B18" s="235"/>
      <c r="C18" s="236"/>
      <c r="D18" s="231"/>
      <c r="E18" s="232" t="e">
        <v>#N/A</v>
      </c>
      <c r="F18" s="195">
        <v>11</v>
      </c>
      <c r="G18" s="233">
        <f>_xll.qlInterestRateIndexFixingDate(IborIndex,I18)</f>
        <v>42187</v>
      </c>
      <c r="H18" s="195" t="str">
        <f>_xll.qlMakeDatedOIS(,I18,J18,OvernightIndex,0,"Act/360",0)</f>
        <v>obj_003ec#0000</v>
      </c>
      <c r="I18" s="233">
        <f>_xll.qlCalendarAdvance(Calendar,$D$2,F18&amp;"M","mf")</f>
        <v>42191</v>
      </c>
      <c r="J18" s="233">
        <f>_xll.qlInterestRateIndexMaturity(IborIndex,I18)</f>
        <v>42557</v>
      </c>
      <c r="L18" s="232">
        <f>_xll.qlOvernightIndexedSwapFairRate(H18,_xll.ohTrigger($P$2:$P$6))</f>
        <v>8.0679246797474714E-4</v>
      </c>
      <c r="M18" s="209">
        <f>_xll.qlInterpolationInterpolate(BasisInterpolator,I18,,L18)</f>
        <v>4.4567394031170705E-3</v>
      </c>
      <c r="N18" s="232">
        <f t="shared" si="0"/>
        <v>5.2635318710918177E-3</v>
      </c>
    </row>
    <row r="19" spans="1:14" x14ac:dyDescent="0.2">
      <c r="A19" s="234"/>
      <c r="B19" s="235"/>
      <c r="C19" s="236"/>
      <c r="D19" s="231"/>
      <c r="E19" s="232" t="e">
        <v>#N/A</v>
      </c>
      <c r="F19" s="195">
        <v>13</v>
      </c>
      <c r="G19" s="233">
        <f>_xll.qlInterestRateIndexFixingDate(IborIndex,I19)</f>
        <v>42249</v>
      </c>
      <c r="H19" s="195" t="str">
        <f>_xll.qlMakeDatedOIS(,I19,J19,OvernightIndex,0,"Act/360",0)</f>
        <v>obj_003d1#0000</v>
      </c>
      <c r="I19" s="233">
        <f>_xll.qlCalendarAdvance(Calendar,$D$2,F19&amp;"M","mf")</f>
        <v>42251</v>
      </c>
      <c r="J19" s="233">
        <f>_xll.qlInterestRateIndexMaturity(IborIndex,I19)</f>
        <v>42618</v>
      </c>
      <c r="L19" s="232">
        <f>_xll.qlOvernightIndexedSwapFairRate(H19,_xll.ohTrigger($P$2:$P$6))</f>
        <v>9.7049303312948907E-4</v>
      </c>
      <c r="M19" s="209">
        <f>_xll.qlInterpolationInterpolate(BasisInterpolator,I19,,L19)</f>
        <v>4.4617375572690117E-3</v>
      </c>
      <c r="N19" s="232">
        <f t="shared" si="0"/>
        <v>5.4322305903985006E-3</v>
      </c>
    </row>
    <row r="20" spans="1:14" x14ac:dyDescent="0.2">
      <c r="A20" s="234"/>
      <c r="B20" s="235"/>
      <c r="C20" s="236"/>
      <c r="D20" s="231"/>
      <c r="E20" s="232" t="e">
        <v>#N/A</v>
      </c>
      <c r="F20" s="195">
        <v>14</v>
      </c>
      <c r="G20" s="233">
        <f>_xll.qlInterestRateIndexFixingDate(IborIndex,I20)</f>
        <v>42278</v>
      </c>
      <c r="H20" s="195" t="str">
        <f>_xll.qlMakeDatedOIS(,I20,J20,OvernightIndex,0,"Act/360",0)</f>
        <v>obj_003d9#0000</v>
      </c>
      <c r="I20" s="233">
        <f>_xll.qlCalendarAdvance(Calendar,$D$2,F20&amp;"M","mf")</f>
        <v>42282</v>
      </c>
      <c r="J20" s="233">
        <f>_xll.qlInterestRateIndexMaturity(IborIndex,I20)</f>
        <v>42648</v>
      </c>
      <c r="L20" s="232">
        <f>_xll.qlOvernightIndexedSwapFairRate(H20,_xll.ohTrigger($P$2:$P$6))</f>
        <v>1.0691512645746271E-3</v>
      </c>
      <c r="M20" s="209">
        <f>_xll.qlInterpolationInterpolate(BasisInterpolator,I20,,L20)</f>
        <v>4.4630006881353993E-3</v>
      </c>
      <c r="N20" s="232">
        <f t="shared" si="0"/>
        <v>5.5321519527100262E-3</v>
      </c>
    </row>
    <row r="21" spans="1:14" x14ac:dyDescent="0.2">
      <c r="A21" s="234"/>
      <c r="B21" s="235"/>
      <c r="C21" s="236"/>
      <c r="D21" s="231"/>
      <c r="E21" s="232" t="e">
        <v>#N/A</v>
      </c>
      <c r="F21" s="195">
        <v>15</v>
      </c>
      <c r="G21" s="233">
        <f>_xll.qlInterestRateIndexFixingDate(IborIndex,I21)</f>
        <v>42310</v>
      </c>
      <c r="H21" s="195" t="str">
        <f>_xll.qlMakeDatedOIS(,I21,J21,OvernightIndex,0,"Act/360",0)</f>
        <v>obj_003ce#0000</v>
      </c>
      <c r="I21" s="233">
        <f>_xll.qlCalendarAdvance(Calendar,$D$2,F21&amp;"M","mf")</f>
        <v>42312</v>
      </c>
      <c r="J21" s="233">
        <f>_xll.qlInterestRateIndexMaturity(IborIndex,I21)</f>
        <v>42678</v>
      </c>
      <c r="L21" s="232">
        <f>_xll.qlOvernightIndexedSwapFairRate(H21,_xll.ohTrigger($P$2:$P$6))</f>
        <v>1.1750149441667774E-3</v>
      </c>
      <c r="M21" s="209">
        <f>_xll.qlInterpolationInterpolate(BasisInterpolator,I21,,L21)</f>
        <v>4.463978006389686E-3</v>
      </c>
      <c r="N21" s="232">
        <f t="shared" si="0"/>
        <v>5.6389929505564632E-3</v>
      </c>
    </row>
    <row r="22" spans="1:14" x14ac:dyDescent="0.2">
      <c r="A22" s="234"/>
      <c r="B22" s="235"/>
      <c r="C22" s="236"/>
      <c r="D22" s="231"/>
      <c r="E22" s="232" t="e">
        <v>#N/A</v>
      </c>
      <c r="F22" s="195">
        <v>16</v>
      </c>
      <c r="G22" s="233">
        <f>_xll.qlInterestRateIndexFixingDate(IborIndex,I22)</f>
        <v>42340</v>
      </c>
      <c r="H22" s="195" t="str">
        <f>_xll.qlMakeDatedOIS(,I22,J22,OvernightIndex,0,"Act/360",0)</f>
        <v>obj_003eb#0000</v>
      </c>
      <c r="I22" s="233">
        <f>_xll.qlCalendarAdvance(Calendar,$D$2,F22&amp;"M","mf")</f>
        <v>42342</v>
      </c>
      <c r="J22" s="233">
        <f>_xll.qlInterestRateIndexMaturity(IborIndex,I22)</f>
        <v>42709</v>
      </c>
      <c r="L22" s="232">
        <f>_xll.qlOvernightIndexedSwapFairRate(H22,_xll.ohTrigger($P$2:$P$6))</f>
        <v>1.2896549237124228E-3</v>
      </c>
      <c r="M22" s="209">
        <f>_xll.qlInterpolationInterpolate(BasisInterpolator,I22,,L22)</f>
        <v>4.4649153292470574E-3</v>
      </c>
      <c r="N22" s="232">
        <f t="shared" si="0"/>
        <v>5.7545702529594803E-3</v>
      </c>
    </row>
    <row r="23" spans="1:14" x14ac:dyDescent="0.2">
      <c r="A23" s="234"/>
      <c r="B23" s="235"/>
      <c r="C23" s="236"/>
      <c r="D23" s="231"/>
      <c r="E23" s="232" t="e">
        <v>#N/A</v>
      </c>
      <c r="F23" s="195">
        <v>17</v>
      </c>
      <c r="G23" s="233">
        <f>_xll.qlInterestRateIndexFixingDate(IborIndex,I23)</f>
        <v>42368</v>
      </c>
      <c r="H23" s="195" t="str">
        <f>_xll.qlMakeDatedOIS(,I23,J23,OvernightIndex,0,"Act/360",0)</f>
        <v>obj_003d8#0000</v>
      </c>
      <c r="I23" s="233">
        <f>_xll.qlCalendarAdvance(Calendar,$D$2,F23&amp;"M","mf")</f>
        <v>42373</v>
      </c>
      <c r="J23" s="233">
        <f>_xll.qlInterestRateIndexMaturity(IborIndex,I23)</f>
        <v>42739</v>
      </c>
      <c r="L23" s="232">
        <f>_xll.qlOvernightIndexedSwapFairRate(H23,_xll.ohTrigger($P$2:$P$6))</f>
        <v>1.4097323418373485E-3</v>
      </c>
      <c r="M23" s="209">
        <f>_xll.qlInterpolationInterpolate(BasisInterpolator,I23,,L23)</f>
        <v>4.4660530967637838E-3</v>
      </c>
      <c r="N23" s="232">
        <f t="shared" si="0"/>
        <v>5.8757854386011325E-3</v>
      </c>
    </row>
    <row r="24" spans="1:14" x14ac:dyDescent="0.2">
      <c r="A24" s="234"/>
      <c r="B24" s="235"/>
      <c r="C24" s="236"/>
      <c r="D24" s="231"/>
      <c r="E24" s="232" t="e">
        <v>#N/A</v>
      </c>
      <c r="F24" s="195">
        <v>18</v>
      </c>
      <c r="G24" s="233">
        <f>_xll.qlInterestRateIndexFixingDate(IborIndex,I24)</f>
        <v>42402</v>
      </c>
      <c r="H24" s="195" t="str">
        <f>_xll.qlMakeDatedOIS(,I24,J24,OvernightIndex,0,"Act/360",0)</f>
        <v>obj_003f7#0000</v>
      </c>
      <c r="I24" s="233">
        <f>_xll.qlCalendarAdvance(Calendar,$D$2,F24&amp;"M","mf")</f>
        <v>42404</v>
      </c>
      <c r="J24" s="233">
        <f>_xll.qlInterestRateIndexMaturity(IborIndex,I24)</f>
        <v>42772</v>
      </c>
      <c r="L24" s="232">
        <f>_xll.qlOvernightIndexedSwapFairRate(H24,_xll.ohTrigger($P$2:$P$6))</f>
        <v>1.5415585174337273E-3</v>
      </c>
      <c r="M24" s="209">
        <f>_xll.qlInterpolationInterpolate(BasisInterpolator,I24,,L24)</f>
        <v>4.4675798782910564E-3</v>
      </c>
      <c r="N24" s="232">
        <f t="shared" si="0"/>
        <v>6.0091383957247835E-3</v>
      </c>
    </row>
    <row r="25" spans="1:14" x14ac:dyDescent="0.2">
      <c r="A25" s="234"/>
      <c r="B25" s="235"/>
      <c r="C25" s="236"/>
      <c r="D25" s="231"/>
      <c r="E25" s="232" t="e">
        <v>#N/A</v>
      </c>
      <c r="F25" s="195">
        <v>19</v>
      </c>
      <c r="G25" s="233">
        <f>_xll.qlInterestRateIndexFixingDate(IborIndex,I25)</f>
        <v>42431</v>
      </c>
      <c r="H25" s="195" t="str">
        <f>_xll.qlMakeDatedOIS(,I25,J25,OvernightIndex,0,"Act/360",0)</f>
        <v>obj_003f9#0000</v>
      </c>
      <c r="I25" s="233">
        <f>_xll.qlCalendarAdvance(Calendar,$D$2,F25&amp;"M","mf")</f>
        <v>42433</v>
      </c>
      <c r="J25" s="233">
        <f>_xll.qlInterestRateIndexMaturity(IborIndex,I25)</f>
        <v>42800</v>
      </c>
      <c r="L25" s="232">
        <f>_xll.qlOvernightIndexedSwapFairRate(H25,_xll.ohTrigger($P$2:$P$6))</f>
        <v>1.6623580260372378E-3</v>
      </c>
      <c r="M25" s="209">
        <f>_xll.qlInterpolationInterpolate(BasisInterpolator,I25,,L25)</f>
        <v>4.4695546866697199E-3</v>
      </c>
      <c r="N25" s="232">
        <f t="shared" si="0"/>
        <v>6.1319127127069575E-3</v>
      </c>
    </row>
    <row r="26" spans="1:14" x14ac:dyDescent="0.2">
      <c r="A26" s="234"/>
      <c r="B26" s="235"/>
      <c r="C26" s="236"/>
      <c r="D26" s="231"/>
      <c r="E26" s="232" t="e">
        <v>#N/A</v>
      </c>
      <c r="F26" s="195">
        <v>20</v>
      </c>
      <c r="G26" s="233">
        <f>_xll.qlInterestRateIndexFixingDate(IborIndex,I26)</f>
        <v>42460</v>
      </c>
      <c r="H26" s="195" t="str">
        <f>_xll.qlMakeDatedOIS(,I26,J26,OvernightIndex,0,"Act/360",0)</f>
        <v>obj_003f0#0000</v>
      </c>
      <c r="I26" s="233">
        <f>_xll.qlCalendarAdvance(Calendar,$D$2,F26&amp;"M","mf")</f>
        <v>42464</v>
      </c>
      <c r="J26" s="233">
        <f>_xll.qlInterestRateIndexMaturity(IborIndex,I26)</f>
        <v>42829</v>
      </c>
      <c r="L26" s="232">
        <f>_xll.qlOvernightIndexedSwapFairRate(H26,_xll.ohTrigger($P$2:$P$6))</f>
        <v>1.7948005088966529E-3</v>
      </c>
      <c r="M26" s="209">
        <f>_xll.qlInterpolationInterpolate(BasisInterpolator,I26,,L26)</f>
        <v>4.472457664623529E-3</v>
      </c>
      <c r="N26" s="232">
        <f t="shared" si="0"/>
        <v>6.2672581735201821E-3</v>
      </c>
    </row>
    <row r="27" spans="1:14" x14ac:dyDescent="0.2">
      <c r="A27" s="234"/>
      <c r="B27" s="235"/>
      <c r="C27" s="236"/>
      <c r="D27" s="231"/>
      <c r="E27" s="232" t="e">
        <v>#N/A</v>
      </c>
      <c r="F27" s="195">
        <v>21</v>
      </c>
      <c r="G27" s="233">
        <f>_xll.qlInterestRateIndexFixingDate(IborIndex,I27)</f>
        <v>42492</v>
      </c>
      <c r="H27" s="195" t="str">
        <f>_xll.qlMakeDatedOIS(,I27,J27,OvernightIndex,0,"Act/360",0)</f>
        <v>obj_003fe#0000</v>
      </c>
      <c r="I27" s="233">
        <f>_xll.qlCalendarAdvance(Calendar,$D$2,F27&amp;"M","mf")</f>
        <v>42494</v>
      </c>
      <c r="J27" s="233">
        <f>_xll.qlInterestRateIndexMaturity(IborIndex,I27)</f>
        <v>42859</v>
      </c>
      <c r="L27" s="232">
        <f>_xll.qlOvernightIndexedSwapFairRate(H27,_xll.ohTrigger($P$2:$P$6))</f>
        <v>1.9358122655366962E-3</v>
      </c>
      <c r="M27" s="209">
        <f>_xll.qlInterpolationInterpolate(BasisInterpolator,I27,,L27)</f>
        <v>4.4762483584816441E-3</v>
      </c>
      <c r="N27" s="232">
        <f t="shared" si="0"/>
        <v>6.4120606240183403E-3</v>
      </c>
    </row>
    <row r="28" spans="1:14" x14ac:dyDescent="0.2">
      <c r="A28" s="234"/>
      <c r="B28" s="235"/>
      <c r="C28" s="236"/>
      <c r="D28" s="231"/>
      <c r="E28" s="232" t="e">
        <v>#N/A</v>
      </c>
      <c r="F28" s="195">
        <v>22</v>
      </c>
      <c r="G28" s="233">
        <f>_xll.qlInterestRateIndexFixingDate(IborIndex,I28)</f>
        <v>42523</v>
      </c>
      <c r="H28" s="195" t="str">
        <f>_xll.qlMakeDatedOIS(,I28,J28,OvernightIndex,0,"Act/360",0)</f>
        <v>obj_003e4#0000</v>
      </c>
      <c r="I28" s="233">
        <f>_xll.qlCalendarAdvance(Calendar,$D$2,F28&amp;"M","mf")</f>
        <v>42527</v>
      </c>
      <c r="J28" s="233">
        <f>_xll.qlInterestRateIndexMaturity(IborIndex,I28)</f>
        <v>42892</v>
      </c>
      <c r="L28" s="232">
        <f>_xll.qlOvernightIndexedSwapFairRate(H28,_xll.ohTrigger($P$2:$P$6))</f>
        <v>2.1019409195897217E-3</v>
      </c>
      <c r="M28" s="209">
        <f>_xll.qlInterpolationInterpolate(BasisInterpolator,I28,,L28)</f>
        <v>4.4817728838207364E-3</v>
      </c>
      <c r="N28" s="232">
        <f t="shared" si="0"/>
        <v>6.5837138034104577E-3</v>
      </c>
    </row>
    <row r="29" spans="1:14" x14ac:dyDescent="0.2">
      <c r="A29" s="234"/>
      <c r="B29" s="235"/>
      <c r="C29" s="236"/>
      <c r="D29" s="231"/>
      <c r="E29" s="232" t="e">
        <v>#N/A</v>
      </c>
      <c r="F29" s="195">
        <v>23</v>
      </c>
      <c r="G29" s="233">
        <f>_xll.qlInterestRateIndexFixingDate(IborIndex,I29)</f>
        <v>42551</v>
      </c>
      <c r="H29" s="195" t="str">
        <f>_xll.qlMakeDatedOIS(,I29,J29,OvernightIndex,0,"Act/360",0)</f>
        <v>obj_003e8#0000</v>
      </c>
      <c r="I29" s="233">
        <f>_xll.qlCalendarAdvance(Calendar,$D$2,F29&amp;"M","mf")</f>
        <v>42555</v>
      </c>
      <c r="J29" s="233">
        <f>_xll.qlInterestRateIndexMaturity(IborIndex,I29)</f>
        <v>42920</v>
      </c>
      <c r="L29" s="232">
        <f>_xll.qlOvernightIndexedSwapFairRate(H29,_xll.ohTrigger($P$2:$P$6))</f>
        <v>2.2513849785750157E-3</v>
      </c>
      <c r="M29" s="209">
        <f>_xll.qlInterpolationInterpolate(BasisInterpolator,I29,,L29)</f>
        <v>4.4877641405724972E-3</v>
      </c>
      <c r="N29" s="232">
        <f t="shared" si="0"/>
        <v>6.7391491191475129E-3</v>
      </c>
    </row>
    <row r="30" spans="1:14" x14ac:dyDescent="0.2">
      <c r="A30" s="234"/>
      <c r="B30" s="235"/>
      <c r="C30" s="236"/>
      <c r="D30" s="231"/>
      <c r="E30" s="232" t="e">
        <v>#N/A</v>
      </c>
      <c r="F30" s="195">
        <v>25</v>
      </c>
      <c r="G30" s="233">
        <f>_xll.qlInterestRateIndexFixingDate(IborIndex,I30)</f>
        <v>42614</v>
      </c>
      <c r="H30" s="195" t="str">
        <f>_xll.qlMakeDatedOIS(,I30,J30,OvernightIndex,0,"Act/360",0)</f>
        <v>obj_003da#0000</v>
      </c>
      <c r="I30" s="233">
        <f>_xll.qlCalendarAdvance(Calendar,$D$2,F30&amp;"M","mf")</f>
        <v>42618</v>
      </c>
      <c r="J30" s="233">
        <f>_xll.qlInterestRateIndexMaturity(IborIndex,I30)</f>
        <v>42983</v>
      </c>
      <c r="L30" s="232">
        <f>_xll.qlOvernightIndexedSwapFairRate(H30,_xll.ohTrigger($P$2:$P$6))</f>
        <v>2.6115238729569885E-3</v>
      </c>
      <c r="M30" s="209">
        <f>_xll.qlInterpolationInterpolate(BasisInterpolator,I30,,L30)</f>
        <v>4.5117582652706295E-3</v>
      </c>
      <c r="N30" s="232">
        <f t="shared" si="0"/>
        <v>7.1232821382276185E-3</v>
      </c>
    </row>
    <row r="31" spans="1:14" x14ac:dyDescent="0.2">
      <c r="A31" s="234"/>
      <c r="B31" s="235"/>
      <c r="C31" s="236"/>
      <c r="D31" s="231"/>
      <c r="E31" s="232" t="e">
        <v>#N/A</v>
      </c>
      <c r="F31" s="195">
        <v>26</v>
      </c>
      <c r="G31" s="233">
        <f>_xll.qlInterestRateIndexFixingDate(IborIndex,I31)</f>
        <v>42643</v>
      </c>
      <c r="H31" s="195" t="str">
        <f>_xll.qlMakeDatedOIS(,I31,J31,OvernightIndex,0,"Act/360",0)</f>
        <v>obj_003fb#0000</v>
      </c>
      <c r="I31" s="233">
        <f>_xll.qlCalendarAdvance(Calendar,$D$2,F31&amp;"M","mf")</f>
        <v>42647</v>
      </c>
      <c r="J31" s="233">
        <f>_xll.qlInterestRateIndexMaturity(IborIndex,I31)</f>
        <v>43012</v>
      </c>
      <c r="L31" s="232">
        <f>_xll.qlOvernightIndexedSwapFairRate(H31,_xll.ohTrigger($P$2:$P$6))</f>
        <v>2.7872591922223798E-3</v>
      </c>
      <c r="M31" s="209">
        <f>_xll.qlInterpolationInterpolate(BasisInterpolator,I31,,L31)</f>
        <v>4.5358201583888804E-3</v>
      </c>
      <c r="N31" s="232">
        <f t="shared" si="0"/>
        <v>7.3230793506112602E-3</v>
      </c>
    </row>
    <row r="32" spans="1:14" x14ac:dyDescent="0.2">
      <c r="A32" s="234"/>
      <c r="B32" s="235"/>
      <c r="C32" s="236"/>
      <c r="D32" s="231"/>
      <c r="E32" s="232" t="e">
        <v>#N/A</v>
      </c>
      <c r="F32" s="195">
        <v>27</v>
      </c>
      <c r="G32" s="233">
        <f>_xll.qlInterestRateIndexFixingDate(IborIndex,I32)</f>
        <v>42676</v>
      </c>
      <c r="H32" s="195" t="str">
        <f>_xll.qlMakeDatedOIS(,I32,J32,OvernightIndex,0,"Act/360",0)</f>
        <v>obj_003e0#0000</v>
      </c>
      <c r="I32" s="233">
        <f>_xll.qlCalendarAdvance(Calendar,$D$2,F32&amp;"M","mf")</f>
        <v>42678</v>
      </c>
      <c r="J32" s="233">
        <f>_xll.qlInterestRateIndexMaturity(IborIndex,I32)</f>
        <v>43045</v>
      </c>
      <c r="L32" s="232">
        <f>_xll.qlOvernightIndexedSwapFairRate(H32,_xll.ohTrigger($P$2:$P$6))</f>
        <v>2.9887060234770079E-3</v>
      </c>
      <c r="M32" s="209">
        <f>_xll.qlInterpolationInterpolate(BasisInterpolator,I32,,L32)</f>
        <v>4.5700343808848017E-3</v>
      </c>
      <c r="N32" s="232">
        <f t="shared" si="0"/>
        <v>7.5587404043618092E-3</v>
      </c>
    </row>
    <row r="33" spans="1:14" x14ac:dyDescent="0.2">
      <c r="A33" s="234"/>
      <c r="B33" s="235"/>
      <c r="C33" s="236"/>
      <c r="D33" s="231"/>
      <c r="E33" s="232" t="e">
        <v>#N/A</v>
      </c>
      <c r="F33" s="195">
        <v>28</v>
      </c>
      <c r="G33" s="233">
        <f>_xll.qlInterestRateIndexFixingDate(IborIndex,I33)</f>
        <v>42705</v>
      </c>
      <c r="H33" s="195" t="str">
        <f>_xll.qlMakeDatedOIS(,I33,J33,OvernightIndex,0,"Act/360",0)</f>
        <v>obj_003e5#0000</v>
      </c>
      <c r="I33" s="233">
        <f>_xll.qlCalendarAdvance(Calendar,$D$2,F33&amp;"M","mf")</f>
        <v>42709</v>
      </c>
      <c r="J33" s="233">
        <f>_xll.qlInterestRateIndexMaturity(IborIndex,I33)</f>
        <v>43074</v>
      </c>
      <c r="L33" s="232">
        <f>_xll.qlOvernightIndexedSwapFairRate(H33,_xll.ohTrigger($P$2:$P$6))</f>
        <v>3.1832862943291843E-3</v>
      </c>
      <c r="M33" s="209">
        <f>_xll.qlInterpolationInterpolate(BasisInterpolator,I33,,L33)</f>
        <v>4.6111937752941765E-3</v>
      </c>
      <c r="N33" s="232">
        <f t="shared" si="0"/>
        <v>7.7944800696233604E-3</v>
      </c>
    </row>
    <row r="34" spans="1:14" x14ac:dyDescent="0.2">
      <c r="A34" s="234"/>
      <c r="B34" s="235"/>
      <c r="C34" s="236"/>
      <c r="D34" s="231"/>
      <c r="E34" s="232" t="e">
        <v>#N/A</v>
      </c>
      <c r="F34" s="195">
        <v>29</v>
      </c>
      <c r="G34" s="233">
        <f>_xll.qlInterestRateIndexFixingDate(IborIndex,I34)</f>
        <v>42737</v>
      </c>
      <c r="H34" s="195" t="str">
        <f>_xll.qlMakeDatedOIS(,I34,J34,OvernightIndex,0,"Act/360",0)</f>
        <v>obj_003ed#0000</v>
      </c>
      <c r="I34" s="233">
        <f>_xll.qlCalendarAdvance(Calendar,$D$2,F34&amp;"M","mf")</f>
        <v>42739</v>
      </c>
      <c r="J34" s="233">
        <f>_xll.qlInterestRateIndexMaturity(IborIndex,I34)</f>
        <v>43104</v>
      </c>
      <c r="L34" s="232">
        <f>_xll.qlOvernightIndexedSwapFairRate(H34,_xll.ohTrigger($P$2:$P$6))</f>
        <v>3.3846352758441665E-3</v>
      </c>
      <c r="M34" s="209">
        <f>_xll.qlInterpolationInterpolate(BasisInterpolator,I34,,L34)</f>
        <v>4.6558758425456013E-3</v>
      </c>
      <c r="N34" s="232">
        <f t="shared" si="0"/>
        <v>8.0405111183897669E-3</v>
      </c>
    </row>
    <row r="35" spans="1:14" x14ac:dyDescent="0.2">
      <c r="A35" s="234"/>
      <c r="B35" s="235"/>
      <c r="C35" s="236"/>
      <c r="D35" s="231"/>
      <c r="E35" s="232" t="e">
        <v>#N/A</v>
      </c>
      <c r="F35" s="195">
        <v>30</v>
      </c>
      <c r="G35" s="233">
        <f>_xll.qlInterestRateIndexFixingDate(IborIndex,I35)</f>
        <v>42768</v>
      </c>
      <c r="H35" s="195" t="str">
        <f>_xll.qlMakeDatedOIS(,I35,J35,OvernightIndex,0,"Act/360",0)</f>
        <v>obj_003e7#0000</v>
      </c>
      <c r="I35" s="233">
        <f>_xll.qlCalendarAdvance(Calendar,$D$2,F35&amp;"M","mf")</f>
        <v>42772</v>
      </c>
      <c r="J35" s="233">
        <f>_xll.qlInterestRateIndexMaturity(IborIndex,I35)</f>
        <v>43137</v>
      </c>
      <c r="L35" s="232">
        <f>_xll.qlOvernightIndexedSwapFairRate(H35,_xll.ohTrigger($P$2:$P$6))</f>
        <v>3.6132751331859666E-3</v>
      </c>
      <c r="M35" s="209">
        <f>_xll.qlInterpolationInterpolate(BasisInterpolator,I35,,L35)</f>
        <v>4.7084908326948402E-3</v>
      </c>
      <c r="N35" s="232">
        <f t="shared" si="0"/>
        <v>8.3217659658808077E-3</v>
      </c>
    </row>
    <row r="36" spans="1:14" x14ac:dyDescent="0.2">
      <c r="A36" s="234"/>
      <c r="B36" s="235"/>
      <c r="C36" s="236"/>
      <c r="D36" s="231"/>
      <c r="E36" s="232" t="e">
        <v>#N/A</v>
      </c>
      <c r="F36" s="195">
        <v>31</v>
      </c>
      <c r="G36" s="233">
        <f>_xll.qlInterestRateIndexFixingDate(IborIndex,I36)</f>
        <v>42796</v>
      </c>
      <c r="H36" s="195" t="str">
        <f>_xll.qlMakeDatedOIS(,I36,J36,OvernightIndex,0,"Act/360",0)</f>
        <v>obj_003f6#0000</v>
      </c>
      <c r="I36" s="233">
        <f>_xll.qlCalendarAdvance(Calendar,$D$2,F36&amp;"M","mf")</f>
        <v>42800</v>
      </c>
      <c r="J36" s="233">
        <f>_xll.qlInterestRateIndexMaturity(IborIndex,I36)</f>
        <v>43165</v>
      </c>
      <c r="L36" s="232">
        <f>_xll.qlOvernightIndexedSwapFairRate(H36,_xll.ohTrigger($P$2:$P$6))</f>
        <v>3.8130511579522056E-3</v>
      </c>
      <c r="M36" s="209">
        <f>_xll.qlInterpolationInterpolate(BasisInterpolator,I36,,L36)</f>
        <v>4.7543533222937423E-3</v>
      </c>
      <c r="N36" s="232">
        <f t="shared" si="0"/>
        <v>8.5674044802459479E-3</v>
      </c>
    </row>
    <row r="37" spans="1:14" x14ac:dyDescent="0.2">
      <c r="A37" s="234"/>
      <c r="B37" s="235"/>
      <c r="C37" s="236"/>
      <c r="D37" s="231"/>
      <c r="E37" s="232" t="e">
        <v>#N/A</v>
      </c>
      <c r="F37" s="195">
        <v>32</v>
      </c>
      <c r="G37" s="233">
        <f>_xll.qlInterestRateIndexFixingDate(IborIndex,I37)</f>
        <v>42825</v>
      </c>
      <c r="H37" s="195" t="str">
        <f>_xll.qlMakeDatedOIS(,I37,J37,OvernightIndex,0,"Act/360",0)</f>
        <v>obj_003cf#0000</v>
      </c>
      <c r="I37" s="233">
        <f>_xll.qlCalendarAdvance(Calendar,$D$2,F37&amp;"M","mf")</f>
        <v>42829</v>
      </c>
      <c r="J37" s="233">
        <f>_xll.qlInterestRateIndexMaturity(IborIndex,I37)</f>
        <v>43194</v>
      </c>
      <c r="L37" s="232">
        <f>_xll.qlOvernightIndexedSwapFairRate(H37,_xll.ohTrigger($P$2:$P$6))</f>
        <v>4.0254584375903069E-3</v>
      </c>
      <c r="M37" s="209">
        <f>_xll.qlInterpolationInterpolate(BasisInterpolator,I37,,L37)</f>
        <v>4.8014766848079931E-3</v>
      </c>
      <c r="N37" s="232">
        <f t="shared" si="0"/>
        <v>8.8269351223983009E-3</v>
      </c>
    </row>
    <row r="38" spans="1:14" x14ac:dyDescent="0.2">
      <c r="A38" s="234"/>
      <c r="B38" s="235"/>
      <c r="C38" s="236"/>
      <c r="D38" s="231"/>
      <c r="E38" s="232" t="e">
        <v>#N/A</v>
      </c>
      <c r="F38" s="195">
        <v>33</v>
      </c>
      <c r="G38" s="233">
        <f>_xll.qlInterestRateIndexFixingDate(IborIndex,I38)</f>
        <v>42857</v>
      </c>
      <c r="H38" s="195" t="str">
        <f>_xll.qlMakeDatedOIS(,I38,J38,OvernightIndex,0,"Act/360",0)</f>
        <v>obj_003f1#0000</v>
      </c>
      <c r="I38" s="233">
        <f>_xll.qlCalendarAdvance(Calendar,$D$2,F38&amp;"M","mf")</f>
        <v>42859</v>
      </c>
      <c r="J38" s="233">
        <f>_xll.qlInterestRateIndexMaturity(IborIndex,I38)</f>
        <v>43224</v>
      </c>
      <c r="L38" s="232">
        <f>_xll.qlOvernightIndexedSwapFairRate(H38,_xll.ohTrigger($P$2:$P$6))</f>
        <v>4.2509760861744912E-3</v>
      </c>
      <c r="M38" s="209">
        <f>_xll.qlInterpolationInterpolate(BasisInterpolator,I38,,L38)</f>
        <v>4.8482093149734232E-3</v>
      </c>
      <c r="N38" s="232">
        <f t="shared" si="0"/>
        <v>9.0991854011479145E-3</v>
      </c>
    </row>
    <row r="39" spans="1:14" x14ac:dyDescent="0.2">
      <c r="A39" s="234"/>
      <c r="B39" s="235"/>
      <c r="C39" s="236"/>
      <c r="D39" s="231"/>
      <c r="E39" s="232" t="e">
        <v>#N/A</v>
      </c>
      <c r="F39" s="195">
        <v>34</v>
      </c>
      <c r="G39" s="233">
        <f>_xll.qlInterestRateIndexFixingDate(IborIndex,I39)</f>
        <v>42887</v>
      </c>
      <c r="H39" s="195" t="str">
        <f>_xll.qlMakeDatedOIS(,I39,J39,OvernightIndex,0,"Act/360",0)</f>
        <v>obj_003ef#0000</v>
      </c>
      <c r="I39" s="233">
        <f>_xll.qlCalendarAdvance(Calendar,$D$2,F39&amp;"M","mf")</f>
        <v>42891</v>
      </c>
      <c r="J39" s="233">
        <f>_xll.qlInterestRateIndexMaturity(IborIndex,I39)</f>
        <v>43256</v>
      </c>
      <c r="L39" s="232">
        <f>_xll.qlOvernightIndexedSwapFairRate(H39,_xll.ohTrigger($P$2:$P$6))</f>
        <v>4.4978971764945636E-3</v>
      </c>
      <c r="M39" s="209">
        <f>_xll.qlInterpolationInterpolate(BasisInterpolator,I39,,L39)</f>
        <v>4.89390820342609E-3</v>
      </c>
      <c r="N39" s="232">
        <f t="shared" si="0"/>
        <v>9.3918053799206536E-3</v>
      </c>
    </row>
    <row r="40" spans="1:14" x14ac:dyDescent="0.2">
      <c r="A40" s="234"/>
      <c r="B40" s="235"/>
      <c r="C40" s="236"/>
      <c r="D40" s="231"/>
      <c r="E40" s="232" t="e">
        <v>#N/A</v>
      </c>
      <c r="F40" s="195">
        <v>35</v>
      </c>
      <c r="G40" s="233">
        <f>_xll.qlInterestRateIndexFixingDate(IborIndex,I40)</f>
        <v>42916</v>
      </c>
      <c r="H40" s="195" t="str">
        <f>_xll.qlMakeDatedOIS(,I40,J40,OvernightIndex,0,"Act/360",0)</f>
        <v>obj_003d7#0000</v>
      </c>
      <c r="I40" s="233">
        <f>_xll.qlCalendarAdvance(Calendar,$D$2,F40&amp;"M","mf")</f>
        <v>42920</v>
      </c>
      <c r="J40" s="233">
        <f>_xll.qlInterestRateIndexMaturity(IborIndex,I40)</f>
        <v>43285</v>
      </c>
      <c r="L40" s="232">
        <f>_xll.qlOvernightIndexedSwapFairRate(H40,_xll.ohTrigger($P$2:$P$6))</f>
        <v>4.7272442048062573E-3</v>
      </c>
      <c r="M40" s="209">
        <f>_xll.qlInterpolationInterpolate(BasisInterpolator,I40,,L40)</f>
        <v>4.9299381404880006E-3</v>
      </c>
      <c r="N40" s="232">
        <f t="shared" si="0"/>
        <v>9.6571823452942587E-3</v>
      </c>
    </row>
    <row r="41" spans="1:14" x14ac:dyDescent="0.2">
      <c r="A41" s="234"/>
      <c r="B41" s="235"/>
      <c r="C41" s="236"/>
      <c r="D41" s="231"/>
      <c r="E41" s="232" t="e">
        <v>#N/A</v>
      </c>
      <c r="F41" s="195">
        <v>37</v>
      </c>
      <c r="G41" s="233">
        <f>_xll.qlInterestRateIndexFixingDate(IborIndex,I41)</f>
        <v>42978</v>
      </c>
      <c r="H41" s="195" t="str">
        <f>_xll.qlMakeDatedOIS(,I41,J41,OvernightIndex,0,"Act/360",0)</f>
        <v>obj_003f3#0000</v>
      </c>
      <c r="I41" s="233">
        <f>_xll.qlCalendarAdvance(Calendar,$D$2,F41&amp;"M","mf")</f>
        <v>42982</v>
      </c>
      <c r="J41" s="233">
        <f>_xll.qlInterestRateIndexMaturity(IborIndex,I41)</f>
        <v>43347</v>
      </c>
      <c r="L41" s="232">
        <f>_xll.qlOvernightIndexedSwapFairRate(H41,_xll.ohTrigger($P$2:$P$6))</f>
        <v>5.2348847201581575E-3</v>
      </c>
      <c r="M41" s="209">
        <f>_xll.qlInterpolationInterpolate(BasisInterpolator,I41,,L41)</f>
        <v>4.9854233999111043E-3</v>
      </c>
      <c r="N41" s="232">
        <f t="shared" si="0"/>
        <v>1.0220308120069261E-2</v>
      </c>
    </row>
    <row r="42" spans="1:14" x14ac:dyDescent="0.2">
      <c r="A42" s="234"/>
      <c r="B42" s="235"/>
      <c r="C42" s="236"/>
      <c r="D42" s="231"/>
      <c r="E42" s="232" t="e">
        <v>#N/A</v>
      </c>
      <c r="F42" s="195">
        <v>38</v>
      </c>
      <c r="G42" s="233">
        <f>_xll.qlInterestRateIndexFixingDate(IborIndex,I42)</f>
        <v>43010</v>
      </c>
      <c r="H42" s="195" t="str">
        <f>_xll.qlMakeDatedOIS(,I42,J42,OvernightIndex,0,"Act/360",0)</f>
        <v>obj_003ee#0000</v>
      </c>
      <c r="I42" s="233">
        <f>_xll.qlCalendarAdvance(Calendar,$D$2,F42&amp;"M","mf")</f>
        <v>43012</v>
      </c>
      <c r="J42" s="233">
        <f>_xll.qlInterestRateIndexMaturity(IborIndex,I42)</f>
        <v>43377</v>
      </c>
      <c r="L42" s="232">
        <f>_xll.qlOvernightIndexedSwapFairRate(H42,_xll.ohTrigger($P$2:$P$6))</f>
        <v>5.4886287170362123E-3</v>
      </c>
      <c r="M42" s="209">
        <f>_xll.qlInterpolationInterpolate(BasisInterpolator,I42,,L42)</f>
        <v>5.0051367154564956E-3</v>
      </c>
      <c r="N42" s="232">
        <f t="shared" si="0"/>
        <v>1.0493765432492707E-2</v>
      </c>
    </row>
    <row r="43" spans="1:14" x14ac:dyDescent="0.2">
      <c r="A43" s="234"/>
      <c r="B43" s="235"/>
      <c r="C43" s="236"/>
      <c r="D43" s="231"/>
      <c r="E43" s="232" t="e">
        <v>#N/A</v>
      </c>
      <c r="F43" s="195">
        <v>39</v>
      </c>
      <c r="G43" s="233">
        <f>_xll.qlInterestRateIndexFixingDate(IborIndex,I43)</f>
        <v>43041</v>
      </c>
      <c r="H43" s="195" t="str">
        <f>_xll.qlMakeDatedOIS(,I43,J43,OvernightIndex,0,"Act/360",0)</f>
        <v>obj_003dd#0000</v>
      </c>
      <c r="I43" s="233">
        <f>_xll.qlCalendarAdvance(Calendar,$D$2,F43&amp;"M","mf")</f>
        <v>43045</v>
      </c>
      <c r="J43" s="233">
        <f>_xll.qlInterestRateIndexMaturity(IborIndex,I43)</f>
        <v>43410</v>
      </c>
      <c r="L43" s="232">
        <f>_xll.qlOvernightIndexedSwapFairRate(H43,_xll.ohTrigger($P$2:$P$6))</f>
        <v>5.7734565494211212E-3</v>
      </c>
      <c r="M43" s="209">
        <f>_xll.qlInterpolationInterpolate(BasisInterpolator,I43,,L43)</f>
        <v>5.022780568751147E-3</v>
      </c>
      <c r="N43" s="232">
        <f t="shared" si="0"/>
        <v>1.0796237118172267E-2</v>
      </c>
    </row>
    <row r="44" spans="1:14" x14ac:dyDescent="0.2">
      <c r="A44" s="234"/>
      <c r="B44" s="235"/>
      <c r="C44" s="236"/>
      <c r="D44" s="231"/>
      <c r="E44" s="232" t="e">
        <v>#N/A</v>
      </c>
      <c r="F44" s="195">
        <v>40</v>
      </c>
      <c r="G44" s="233">
        <f>_xll.qlInterestRateIndexFixingDate(IborIndex,I44)</f>
        <v>43069</v>
      </c>
      <c r="H44" s="195" t="str">
        <f>_xll.qlMakeDatedOIS(,I44,J44,OvernightIndex,0,"Act/360",0)</f>
        <v>obj_003ea#0000</v>
      </c>
      <c r="I44" s="233">
        <f>_xll.qlCalendarAdvance(Calendar,$D$2,F44&amp;"M","mf")</f>
        <v>43073</v>
      </c>
      <c r="J44" s="233">
        <f>_xll.qlInterestRateIndexMaturity(IborIndex,I44)</f>
        <v>43438</v>
      </c>
      <c r="L44" s="232">
        <f>_xll.qlOvernightIndexedSwapFairRate(H44,_xll.ohTrigger($P$2:$P$6))</f>
        <v>6.0195710570475191E-3</v>
      </c>
      <c r="M44" s="209">
        <f>_xll.qlInterpolationInterpolate(BasisInterpolator,I44,,L44)</f>
        <v>5.0347615584417369E-3</v>
      </c>
      <c r="N44" s="232">
        <f t="shared" si="0"/>
        <v>1.1054332615489257E-2</v>
      </c>
    </row>
    <row r="45" spans="1:14" x14ac:dyDescent="0.2">
      <c r="A45" s="234"/>
      <c r="B45" s="235"/>
      <c r="C45" s="236"/>
      <c r="D45" s="231"/>
      <c r="E45" s="209" t="e">
        <v>#N/A</v>
      </c>
      <c r="F45" s="195">
        <v>41</v>
      </c>
      <c r="G45" s="233">
        <f>_xll.qlInterestRateIndexFixingDate(IborIndex,I45)</f>
        <v>43102</v>
      </c>
      <c r="H45" s="195" t="str">
        <f>_xll.qlMakeDatedOIS(,I45,J45,OvernightIndex,0,"Act/360",0)</f>
        <v>obj_003e3#0000</v>
      </c>
      <c r="I45" s="233">
        <f>_xll.qlCalendarAdvance(Calendar,$D$2,F45&amp;"M","mf")</f>
        <v>43104</v>
      </c>
      <c r="J45" s="233">
        <f>_xll.qlInterestRateIndexMaturity(IborIndex,I45)</f>
        <v>43469</v>
      </c>
      <c r="L45" s="232">
        <f>_xll.qlOvernightIndexedSwapFairRate(H45,_xll.ohTrigger($P$2:$P$6))</f>
        <v>6.296543201140997E-3</v>
      </c>
      <c r="M45" s="209">
        <f>_xll.qlInterpolationInterpolate(BasisInterpolator,I45,,L45)</f>
        <v>5.0451823153077465E-3</v>
      </c>
      <c r="N45" s="232">
        <f t="shared" si="0"/>
        <v>1.1341725516448744E-2</v>
      </c>
    </row>
    <row r="46" spans="1:14" x14ac:dyDescent="0.2">
      <c r="A46" s="234"/>
      <c r="B46" s="235"/>
      <c r="C46" s="236"/>
      <c r="D46" s="231"/>
      <c r="E46" s="209" t="e">
        <v>#N/A</v>
      </c>
      <c r="F46" s="195">
        <v>42</v>
      </c>
      <c r="G46" s="233">
        <f>_xll.qlInterestRateIndexFixingDate(IborIndex,I46)</f>
        <v>43132</v>
      </c>
      <c r="H46" s="195" t="str">
        <f>_xll.qlMakeDatedOIS(,I46,J46,OvernightIndex,0,"Act/360",0)</f>
        <v>obj_003d3#0000</v>
      </c>
      <c r="I46" s="233">
        <f>_xll.qlCalendarAdvance(Calendar,$D$2,F46&amp;"M","mf")</f>
        <v>43136</v>
      </c>
      <c r="J46" s="233">
        <f>_xll.qlInterestRateIndexMaturity(IborIndex,I46)</f>
        <v>43501</v>
      </c>
      <c r="L46" s="232">
        <f>_xll.qlOvernightIndexedSwapFairRate(H46,_xll.ohTrigger($P$2:$P$6))</f>
        <v>6.5871036117383609E-3</v>
      </c>
      <c r="M46" s="209">
        <f>_xll.qlInterpolationInterpolate(BasisInterpolator,I46,,L46)</f>
        <v>5.0531942425929323E-3</v>
      </c>
      <c r="N46" s="232">
        <f t="shared" si="0"/>
        <v>1.1640297854331294E-2</v>
      </c>
    </row>
    <row r="47" spans="1:14" x14ac:dyDescent="0.2">
      <c r="A47" s="234"/>
      <c r="B47" s="235"/>
      <c r="C47" s="236"/>
      <c r="D47" s="231"/>
      <c r="E47" s="209" t="e">
        <v>#N/A</v>
      </c>
      <c r="F47" s="195">
        <v>43</v>
      </c>
      <c r="G47" s="233">
        <f>_xll.qlInterestRateIndexFixingDate(IborIndex,I47)</f>
        <v>43160</v>
      </c>
      <c r="H47" s="195" t="str">
        <f>_xll.qlMakeDatedOIS(,I47,J47,OvernightIndex,0,"Act/360",0)</f>
        <v>obj_003db#0000</v>
      </c>
      <c r="I47" s="233">
        <f>_xll.qlCalendarAdvance(Calendar,$D$2,F47&amp;"M","mf")</f>
        <v>43164</v>
      </c>
      <c r="J47" s="233">
        <f>_xll.qlInterestRateIndexMaturity(IborIndex,I47)</f>
        <v>43529</v>
      </c>
      <c r="L47" s="232">
        <f>_xll.qlOvernightIndexedSwapFairRate(H47,_xll.ohTrigger($P$2:$P$6))</f>
        <v>6.8449772971989654E-3</v>
      </c>
      <c r="M47" s="209">
        <f>_xll.qlInterpolationInterpolate(BasisInterpolator,I47,,L47)</f>
        <v>5.0582419375927142E-3</v>
      </c>
      <c r="N47" s="232">
        <f t="shared" si="0"/>
        <v>1.1903219234791679E-2</v>
      </c>
    </row>
    <row r="48" spans="1:14" x14ac:dyDescent="0.2">
      <c r="A48" s="234"/>
      <c r="B48" s="235"/>
      <c r="C48" s="236"/>
      <c r="D48" s="231"/>
      <c r="E48" s="209" t="e">
        <v>#N/A</v>
      </c>
      <c r="F48" s="195">
        <v>44</v>
      </c>
      <c r="G48" s="233">
        <f>_xll.qlInterestRateIndexFixingDate(IborIndex,I48)</f>
        <v>43188</v>
      </c>
      <c r="H48" s="195" t="str">
        <f>_xll.qlMakeDatedOIS(,I48,J48,OvernightIndex,0,"Act/360",0)</f>
        <v>obj_003d6#0000</v>
      </c>
      <c r="I48" s="233">
        <f>_xll.qlCalendarAdvance(Calendar,$D$2,F48&amp;"M","mf")</f>
        <v>43194</v>
      </c>
      <c r="J48" s="233">
        <f>_xll.qlInterestRateIndexMaturity(IborIndex,I48)</f>
        <v>43559</v>
      </c>
      <c r="L48" s="232">
        <f>_xll.qlOvernightIndexedSwapFairRate(H48,_xll.ohTrigger($P$2:$P$6))</f>
        <v>7.1247826846524767E-3</v>
      </c>
      <c r="M48" s="209">
        <f>_xll.qlInterpolationInterpolate(BasisInterpolator,I48,,L48)</f>
        <v>5.0619499893821401E-3</v>
      </c>
      <c r="N48" s="232">
        <f t="shared" si="0"/>
        <v>1.2186732674034617E-2</v>
      </c>
    </row>
    <row r="49" spans="1:14" x14ac:dyDescent="0.2">
      <c r="A49" s="234"/>
      <c r="B49" s="235"/>
      <c r="C49" s="236"/>
      <c r="D49" s="231"/>
      <c r="E49" s="209" t="e">
        <v>#N/A</v>
      </c>
      <c r="F49" s="195">
        <v>45</v>
      </c>
      <c r="G49" s="233">
        <f>_xll.qlInterestRateIndexFixingDate(IborIndex,I49)</f>
        <v>43222</v>
      </c>
      <c r="H49" s="195" t="str">
        <f>_xll.qlMakeDatedOIS(,I49,J49,OvernightIndex,0,"Act/360",0)</f>
        <v>obj_003fd#0000</v>
      </c>
      <c r="I49" s="233">
        <f>_xll.qlCalendarAdvance(Calendar,$D$2,F49&amp;"M","mf")</f>
        <v>43224</v>
      </c>
      <c r="J49" s="233">
        <f>_xll.qlInterestRateIndexMaturity(IborIndex,I49)</f>
        <v>43591</v>
      </c>
      <c r="L49" s="232">
        <f>_xll.qlOvernightIndexedSwapFairRate(H49,_xll.ohTrigger($P$2:$P$6))</f>
        <v>7.4177996355053758E-3</v>
      </c>
      <c r="M49" s="209">
        <f>_xll.qlInterpolationInterpolate(BasisInterpolator,I49,,L49)</f>
        <v>5.0642356909285603E-3</v>
      </c>
      <c r="N49" s="232">
        <f t="shared" si="0"/>
        <v>1.2482035326433936E-2</v>
      </c>
    </row>
    <row r="50" spans="1:14" x14ac:dyDescent="0.2">
      <c r="A50" s="234"/>
      <c r="B50" s="235"/>
      <c r="C50" s="236"/>
      <c r="D50" s="231"/>
      <c r="E50" s="209" t="e">
        <v>#N/A</v>
      </c>
      <c r="F50" s="195">
        <v>46</v>
      </c>
      <c r="G50" s="233">
        <f>_xll.qlInterestRateIndexFixingDate(IborIndex,I50)</f>
        <v>43251</v>
      </c>
      <c r="H50" s="195" t="str">
        <f>_xll.qlMakeDatedOIS(,I50,J50,OvernightIndex,0,"Act/360",0)</f>
        <v>obj_003d2#0000</v>
      </c>
      <c r="I50" s="233">
        <f>_xll.qlCalendarAdvance(Calendar,$D$2,F50&amp;"M","mf")</f>
        <v>43255</v>
      </c>
      <c r="J50" s="233">
        <f>_xll.qlInterestRateIndexMaturity(IborIndex,I50)</f>
        <v>43620</v>
      </c>
      <c r="L50" s="232">
        <f>_xll.qlOvernightIndexedSwapFairRate(H50,_xll.ohTrigger($P$2:$P$6))</f>
        <v>7.703865075803484E-3</v>
      </c>
      <c r="M50" s="209">
        <f>_xll.qlInterpolationInterpolate(BasisInterpolator,I50,,L50)</f>
        <v>5.0654688554193361E-3</v>
      </c>
      <c r="N50" s="232">
        <f t="shared" si="0"/>
        <v>1.276933393122282E-2</v>
      </c>
    </row>
    <row r="51" spans="1:14" x14ac:dyDescent="0.2">
      <c r="A51" s="234"/>
      <c r="B51" s="235"/>
      <c r="C51" s="236"/>
      <c r="D51" s="231"/>
      <c r="E51" s="209" t="e">
        <v>#N/A</v>
      </c>
      <c r="F51" s="195">
        <v>47</v>
      </c>
      <c r="G51" s="233">
        <f>_xll.qlInterestRateIndexFixingDate(IborIndex,I51)</f>
        <v>43283</v>
      </c>
      <c r="H51" s="195" t="str">
        <f>_xll.qlMakeDatedOIS(,I51,J51,OvernightIndex,0,"Act/360",0)</f>
        <v>obj_003fa#0000</v>
      </c>
      <c r="I51" s="233">
        <f>_xll.qlCalendarAdvance(Calendar,$D$2,F51&amp;"M","mf")</f>
        <v>43285</v>
      </c>
      <c r="J51" s="233">
        <f>_xll.qlInterestRateIndexMaturity(IborIndex,I51)</f>
        <v>43650</v>
      </c>
      <c r="L51" s="232">
        <f>_xll.qlOvernightIndexedSwapFairRate(H51,_xll.ohTrigger($P$2:$P$6))</f>
        <v>7.9931182738331771E-3</v>
      </c>
      <c r="M51" s="209">
        <f>_xll.qlInterpolationInterpolate(BasisInterpolator,I51,,L51)</f>
        <v>5.0659236633801034E-3</v>
      </c>
      <c r="N51" s="232">
        <f t="shared" si="0"/>
        <v>1.305904193721328E-2</v>
      </c>
    </row>
    <row r="52" spans="1:14" x14ac:dyDescent="0.2">
      <c r="A52" s="234"/>
      <c r="B52" s="235"/>
      <c r="C52" s="236"/>
      <c r="D52" s="231"/>
      <c r="E52" s="209" t="e">
        <v>#N/A</v>
      </c>
    </row>
    <row r="53" spans="1:14" x14ac:dyDescent="0.2">
      <c r="A53" s="234"/>
      <c r="B53" s="235"/>
      <c r="C53" s="236"/>
      <c r="D53" s="231"/>
      <c r="E53" s="209" t="e">
        <v>#N/A</v>
      </c>
    </row>
    <row r="54" spans="1:14" x14ac:dyDescent="0.2">
      <c r="A54" s="234"/>
      <c r="B54" s="235"/>
      <c r="C54" s="236"/>
      <c r="D54" s="231"/>
      <c r="E54" s="209" t="e">
        <v>#N/A</v>
      </c>
    </row>
    <row r="55" spans="1:14" x14ac:dyDescent="0.2">
      <c r="A55" s="234"/>
      <c r="B55" s="235"/>
      <c r="C55" s="236"/>
      <c r="D55" s="231"/>
      <c r="E55" s="209" t="e">
        <v>#N/A</v>
      </c>
    </row>
    <row r="56" spans="1:14" x14ac:dyDescent="0.2">
      <c r="A56" s="234"/>
      <c r="B56" s="235"/>
      <c r="C56" s="236"/>
      <c r="D56" s="231"/>
      <c r="E56" s="209" t="e">
        <v>#N/A</v>
      </c>
    </row>
    <row r="57" spans="1:14" x14ac:dyDescent="0.2">
      <c r="A57" s="234"/>
      <c r="B57" s="235"/>
      <c r="C57" s="236"/>
      <c r="D57" s="231"/>
      <c r="E57" s="209" t="e">
        <v>#N/A</v>
      </c>
    </row>
    <row r="58" spans="1:14" x14ac:dyDescent="0.2">
      <c r="A58" s="234"/>
      <c r="B58" s="235"/>
      <c r="C58" s="236"/>
      <c r="D58" s="231"/>
      <c r="E58" s="209" t="e">
        <v>#N/A</v>
      </c>
    </row>
    <row r="59" spans="1:14" x14ac:dyDescent="0.2">
      <c r="A59" s="234"/>
      <c r="B59" s="235"/>
      <c r="C59" s="236"/>
      <c r="D59" s="231"/>
      <c r="E59" s="209" t="e">
        <v>#N/A</v>
      </c>
    </row>
    <row r="60" spans="1:14" x14ac:dyDescent="0.2">
      <c r="A60" s="234"/>
      <c r="B60" s="235"/>
      <c r="C60" s="236"/>
      <c r="D60" s="231"/>
      <c r="E60" s="209" t="e">
        <v>#N/A</v>
      </c>
    </row>
    <row r="61" spans="1:14" x14ac:dyDescent="0.2">
      <c r="A61" s="234"/>
      <c r="B61" s="235"/>
      <c r="C61" s="236"/>
      <c r="D61" s="231"/>
      <c r="E61" s="209" t="e">
        <v>#N/A</v>
      </c>
    </row>
    <row r="62" spans="1:14" x14ac:dyDescent="0.2">
      <c r="A62" s="234"/>
      <c r="B62" s="235"/>
      <c r="C62" s="236"/>
      <c r="D62" s="231"/>
      <c r="E62" s="209" t="e">
        <v>#N/A</v>
      </c>
    </row>
    <row r="63" spans="1:14" x14ac:dyDescent="0.2">
      <c r="A63" s="234"/>
      <c r="B63" s="235"/>
      <c r="C63" s="236"/>
      <c r="D63" s="231"/>
      <c r="E63" s="209" t="e">
        <v>#N/A</v>
      </c>
    </row>
    <row r="64" spans="1:14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1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EURSND_SYNTH1M_Quote#0000</v>
      </c>
      <c r="E3" s="319" t="str">
        <f>_xll.ohRangeRetrieveError(D3)</f>
        <v/>
      </c>
      <c r="F3" s="173"/>
      <c r="H3" s="174"/>
      <c r="I3" s="277" t="s">
        <v>86</v>
      </c>
      <c r="J3" s="278">
        <f>SynthDepo!G34</f>
        <v>8.2814371604559829E-4</v>
      </c>
      <c r="K3" s="178" t="s">
        <v>87</v>
      </c>
      <c r="L3" s="284">
        <v>8.2814371604559829E-4</v>
      </c>
      <c r="M3" s="175"/>
      <c r="N3" s="288">
        <f t="array" ref="N3:N84">QuoteLive</f>
        <v>8.2814371604559829E-4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EURSWD_SYNTH1M_Quote#0000</v>
      </c>
      <c r="E4" s="320" t="str">
        <f>_xll.ohRangeRetrieveError(D4)</f>
        <v/>
      </c>
      <c r="F4" s="173"/>
      <c r="H4" s="174"/>
      <c r="I4" s="277" t="s">
        <v>88</v>
      </c>
      <c r="J4" s="278">
        <f>SynthDepo!G35</f>
        <v>7.0251500905790299E-4</v>
      </c>
      <c r="K4" s="178" t="s">
        <v>87</v>
      </c>
      <c r="L4" s="284">
        <v>7.0251500905790299E-4</v>
      </c>
      <c r="M4" s="175"/>
      <c r="N4" s="288">
        <v>7.0251500905790299E-4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EUR2WD_SYNTH1M_Quote#0000</v>
      </c>
      <c r="E5" s="320" t="str">
        <f>_xll.ohRangeRetrieveError(D5)</f>
        <v/>
      </c>
      <c r="F5" s="173"/>
      <c r="H5" s="174"/>
      <c r="I5" s="277" t="s">
        <v>89</v>
      </c>
      <c r="J5" s="278">
        <f>SynthDepo!G36</f>
        <v>7.7594811285251828E-4</v>
      </c>
      <c r="K5" s="178" t="s">
        <v>87</v>
      </c>
      <c r="L5" s="284">
        <v>7.7594811285251828E-4</v>
      </c>
      <c r="M5" s="175"/>
      <c r="N5" s="288">
        <v>7.7594811285251828E-4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EUR3WD_SYNTH1M_Quote#0000</v>
      </c>
      <c r="E6" s="320" t="str">
        <f>_xll.ohRangeRetrieveError(D6)</f>
        <v/>
      </c>
      <c r="F6" s="173"/>
      <c r="H6" s="174"/>
      <c r="I6" s="279" t="s">
        <v>90</v>
      </c>
      <c r="J6" s="280">
        <f>SynthDepo!G37</f>
        <v>8.0938125721099488E-4</v>
      </c>
      <c r="K6" s="178" t="s">
        <v>87</v>
      </c>
      <c r="L6" s="285">
        <v>8.0938125721099488E-4</v>
      </c>
      <c r="M6" s="175"/>
      <c r="N6" s="290">
        <v>8.0938125721099488E-4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EUR1MD_SYNTH1M_Quote#0000</v>
      </c>
      <c r="E7" s="331" t="str">
        <f>_xll.ohRangeRetrieveError(D7)</f>
        <v/>
      </c>
      <c r="F7" s="173"/>
      <c r="H7" s="297"/>
      <c r="I7" s="281" t="s">
        <v>91</v>
      </c>
      <c r="J7" s="282">
        <f>SynthDepo!G38</f>
        <v>9.7999999999999997E-4</v>
      </c>
      <c r="K7" s="298" t="s">
        <v>87</v>
      </c>
      <c r="L7" s="286">
        <v>9.7999999999999997E-4</v>
      </c>
      <c r="M7" s="297"/>
      <c r="N7" s="292">
        <v>9.7999999999999997E-4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EURSND_SYNTH3M_Quote#0000</v>
      </c>
      <c r="E8" s="319"/>
      <c r="F8" s="181"/>
      <c r="H8" s="184"/>
      <c r="I8" s="299" t="s">
        <v>86</v>
      </c>
      <c r="J8" s="300">
        <f>SynthDepo!H34</f>
        <v>2.330478676124955E-3</v>
      </c>
      <c r="K8" s="185"/>
      <c r="L8" s="301">
        <v>2.330478676124955E-3</v>
      </c>
      <c r="M8" s="183"/>
      <c r="N8" s="302">
        <v>2.330478676124955E-3</v>
      </c>
      <c r="O8" s="303">
        <f>_xll.qlSimpleQuoteSetValue(D8,ROUND($N8,6),EvaluationDate)</f>
        <v>0</v>
      </c>
      <c r="P8" s="354">
        <f>_xll.ohTrigger(O8:O14)</f>
        <v>1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EURSWD_SYNTH3M_Quote#0000</v>
      </c>
      <c r="E9" s="320"/>
      <c r="F9" s="181"/>
      <c r="H9" s="184"/>
      <c r="I9" s="294" t="s">
        <v>88</v>
      </c>
      <c r="J9" s="278">
        <f>SynthDepo!H35</f>
        <v>2.1614981710034909E-3</v>
      </c>
      <c r="K9" s="185"/>
      <c r="L9" s="284">
        <v>2.1614981710034909E-3</v>
      </c>
      <c r="M9" s="183"/>
      <c r="N9" s="288">
        <v>2.1614981710034909E-3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EUR2WD_SYNTH3M_Quote#0000</v>
      </c>
      <c r="E10" s="320"/>
      <c r="F10" s="181"/>
      <c r="H10" s="184"/>
      <c r="I10" s="294" t="s">
        <v>89</v>
      </c>
      <c r="J10" s="278">
        <f>SynthDepo!H36</f>
        <v>2.1881470355708346E-3</v>
      </c>
      <c r="K10" s="185"/>
      <c r="L10" s="284">
        <v>2.1881470355708346E-3</v>
      </c>
      <c r="M10" s="183"/>
      <c r="N10" s="288">
        <v>2.1881470355708346E-3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EUR3WD_SYNTH3M_Quote#0000</v>
      </c>
      <c r="E11" s="320"/>
      <c r="F11" s="181"/>
      <c r="H11" s="184"/>
      <c r="I11" s="295" t="s">
        <v>90</v>
      </c>
      <c r="J11" s="280">
        <f>SynthDepo!H37</f>
        <v>2.1788805576509951E-3</v>
      </c>
      <c r="K11" s="185"/>
      <c r="L11" s="285">
        <v>2.1788805576509951E-3</v>
      </c>
      <c r="M11" s="183"/>
      <c r="N11" s="290">
        <v>2.1788805576509951E-3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EUR1MD_SYNTH3M_Quote#0000</v>
      </c>
      <c r="E12" s="321"/>
      <c r="F12" s="181"/>
      <c r="H12" s="184"/>
      <c r="I12" s="294" t="s">
        <v>91</v>
      </c>
      <c r="J12" s="278">
        <f>SynthDepo!H38</f>
        <v>2.2955854000558996E-3</v>
      </c>
      <c r="K12" s="185"/>
      <c r="L12" s="284">
        <v>2.2955854000558996E-3</v>
      </c>
      <c r="M12" s="183"/>
      <c r="N12" s="288">
        <v>2.2955854000558996E-3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EUR2MD_SYNTH3M_Quote#0000</v>
      </c>
      <c r="E13" s="321"/>
      <c r="F13" s="181"/>
      <c r="H13" s="184"/>
      <c r="I13" s="294" t="s">
        <v>92</v>
      </c>
      <c r="J13" s="278">
        <f>SynthDepo!H39</f>
        <v>2.1790584996117029E-3</v>
      </c>
      <c r="K13" s="185"/>
      <c r="L13" s="284">
        <v>2.1790584996117029E-3</v>
      </c>
      <c r="M13" s="183"/>
      <c r="N13" s="288">
        <v>2.1790584996117029E-3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EUR3MD_SYNTH3M_Quote#0000</v>
      </c>
      <c r="E14" s="322"/>
      <c r="F14" s="181"/>
      <c r="H14" s="184"/>
      <c r="I14" s="296" t="s">
        <v>93</v>
      </c>
      <c r="J14" s="282">
        <f>SynthDepo!H40</f>
        <v>2.0899999999999981E-3</v>
      </c>
      <c r="K14" s="185"/>
      <c r="L14" s="286">
        <v>2.0899999999999981E-3</v>
      </c>
      <c r="M14" s="183"/>
      <c r="N14" s="292">
        <v>2.0899999999999981E-3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181"/>
      <c r="H15" s="184"/>
      <c r="I15" s="299" t="s">
        <v>86</v>
      </c>
      <c r="J15" s="300">
        <f>SynthDepo!I34</f>
        <v>2.701574862683619E-3</v>
      </c>
      <c r="K15" s="185"/>
      <c r="L15" s="301">
        <v>2.701574862683619E-3</v>
      </c>
      <c r="M15" s="183"/>
      <c r="N15" s="302">
        <v>2.701574862683619E-3</v>
      </c>
      <c r="O15" s="303">
        <f>_xll.qlSimpleQuoteSetValue(D15,ROUND($N15,6),EvaluationDate)</f>
        <v>0</v>
      </c>
      <c r="P15" s="355">
        <f>_xll.ohTrigger(O15:O24)</f>
        <v>1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181"/>
      <c r="H16" s="184"/>
      <c r="I16" s="294" t="s">
        <v>88</v>
      </c>
      <c r="J16" s="278">
        <f>SynthDepo!I35</f>
        <v>2.5938349982427208E-3</v>
      </c>
      <c r="K16" s="185"/>
      <c r="L16" s="284">
        <v>2.5938349982427208E-3</v>
      </c>
      <c r="M16" s="183"/>
      <c r="N16" s="288">
        <v>2.5938349982427208E-3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181"/>
      <c r="H17" s="182"/>
      <c r="I17" s="294" t="s">
        <v>89</v>
      </c>
      <c r="J17" s="278">
        <f>SynthDepo!I36</f>
        <v>2.6876172491155075E-3</v>
      </c>
      <c r="K17" s="185"/>
      <c r="L17" s="284">
        <v>2.6876172491155075E-3</v>
      </c>
      <c r="M17" s="183"/>
      <c r="N17" s="288">
        <v>2.6876172491155075E-3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181"/>
      <c r="H18" s="182"/>
      <c r="I18" s="294" t="s">
        <v>90</v>
      </c>
      <c r="J18" s="278">
        <f>SynthDepo!I37</f>
        <v>2.7408382813852356E-3</v>
      </c>
      <c r="K18" s="185"/>
      <c r="L18" s="284">
        <v>2.7408382813852356E-3</v>
      </c>
      <c r="M18" s="183"/>
      <c r="N18" s="288">
        <v>2.7408382813852356E-3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181"/>
      <c r="H19" s="182"/>
      <c r="I19" s="294" t="s">
        <v>91</v>
      </c>
      <c r="J19" s="278">
        <f>SynthDepo!I38</f>
        <v>2.9387518226354522E-3</v>
      </c>
      <c r="K19" s="185"/>
      <c r="L19" s="284">
        <v>2.9387518226354522E-3</v>
      </c>
      <c r="M19" s="183"/>
      <c r="N19" s="288">
        <v>2.9387518226354522E-3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181"/>
      <c r="H20" s="182"/>
      <c r="I20" s="294" t="s">
        <v>92</v>
      </c>
      <c r="J20" s="278">
        <f>SynthDepo!I39</f>
        <v>3.0183778860499609E-3</v>
      </c>
      <c r="K20" s="185"/>
      <c r="L20" s="284">
        <v>3.0183778860499609E-3</v>
      </c>
      <c r="M20" s="183"/>
      <c r="N20" s="288">
        <v>3.0183778860499609E-3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181"/>
      <c r="H21" s="182"/>
      <c r="I21" s="294" t="s">
        <v>93</v>
      </c>
      <c r="J21" s="278">
        <f>SynthDepo!I40</f>
        <v>3.0232202053537389E-3</v>
      </c>
      <c r="K21" s="185"/>
      <c r="L21" s="284">
        <v>3.0232202053537389E-3</v>
      </c>
      <c r="M21" s="183"/>
      <c r="N21" s="288">
        <v>3.0232202053537389E-3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181"/>
      <c r="H22" s="182"/>
      <c r="I22" s="294" t="s">
        <v>94</v>
      </c>
      <c r="J22" s="278">
        <f>SynthDepo!I41</f>
        <v>3.0591269561245273E-3</v>
      </c>
      <c r="K22" s="185"/>
      <c r="L22" s="284">
        <v>3.0591269561245273E-3</v>
      </c>
      <c r="M22" s="183"/>
      <c r="N22" s="288">
        <v>3.0591269561245273E-3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181"/>
      <c r="H23" s="182"/>
      <c r="I23" s="294" t="s">
        <v>95</v>
      </c>
      <c r="J23" s="278">
        <f>SynthDepo!I42</f>
        <v>3.0753981890402392E-3</v>
      </c>
      <c r="K23" s="185"/>
      <c r="L23" s="284">
        <v>3.0753981890402392E-3</v>
      </c>
      <c r="M23" s="183"/>
      <c r="N23" s="288">
        <v>3.0753981890402392E-3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EUR6MD_SYNTH6M_Quote#0000</v>
      </c>
      <c r="E24" s="320" t="str">
        <f>_xll.ohRangeRetrieveError(D24)</f>
        <v/>
      </c>
      <c r="F24" s="181"/>
      <c r="H24" s="182"/>
      <c r="I24" s="296" t="s">
        <v>96</v>
      </c>
      <c r="J24" s="282">
        <f>SynthDepo!I43</f>
        <v>3.0599999999999985E-3</v>
      </c>
      <c r="K24" s="185"/>
      <c r="L24" s="286">
        <v>3.0599999999999985E-3</v>
      </c>
      <c r="M24" s="183"/>
      <c r="N24" s="292">
        <v>3.0599999999999985E-3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190"/>
      <c r="H25" s="184"/>
      <c r="I25" s="304" t="s">
        <v>86</v>
      </c>
      <c r="J25" s="300">
        <f>SynthDepo!J34</f>
        <v>4.7052204908060056E-3</v>
      </c>
      <c r="K25" s="185"/>
      <c r="L25" s="301">
        <v>4.7052204908060056E-3</v>
      </c>
      <c r="M25" s="183"/>
      <c r="N25" s="302">
        <v>4.7052204908060056E-3</v>
      </c>
      <c r="O25" s="303">
        <f>_xll.qlSimpleQuoteSetValue(D25,ROUND($N25,6),EvaluationDate)</f>
        <v>0</v>
      </c>
      <c r="P25" s="355">
        <f>_xll.ohTrigger(O25:O40)</f>
        <v>1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190"/>
      <c r="H26" s="184"/>
      <c r="I26" s="305" t="s">
        <v>88</v>
      </c>
      <c r="J26" s="278">
        <f>SynthDepo!J35</f>
        <v>4.5866180016677794E-3</v>
      </c>
      <c r="K26" s="185"/>
      <c r="L26" s="284">
        <v>4.5866180016677794E-3</v>
      </c>
      <c r="M26" s="183"/>
      <c r="N26" s="288">
        <v>4.5866180016677794E-3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190"/>
      <c r="H27" s="182"/>
      <c r="I27" s="305" t="s">
        <v>89</v>
      </c>
      <c r="J27" s="278">
        <f>SynthDepo!J36</f>
        <v>4.6682483596201087E-3</v>
      </c>
      <c r="K27" s="185"/>
      <c r="L27" s="284">
        <v>4.6682483596201087E-3</v>
      </c>
      <c r="M27" s="183"/>
      <c r="N27" s="288">
        <v>4.6682483596201087E-3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190"/>
      <c r="H28" s="182"/>
      <c r="I28" s="305" t="s">
        <v>90</v>
      </c>
      <c r="J28" s="278">
        <f>SynthDepo!J37</f>
        <v>4.7098787581362992E-3</v>
      </c>
      <c r="K28" s="185"/>
      <c r="L28" s="284">
        <v>4.7098787581362992E-3</v>
      </c>
      <c r="M28" s="183"/>
      <c r="N28" s="288">
        <v>4.7098787581362992E-3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190"/>
      <c r="H29" s="182"/>
      <c r="I29" s="306" t="s">
        <v>91</v>
      </c>
      <c r="J29" s="280">
        <f>SynthDepo!J38</f>
        <v>4.8922078640077533E-3</v>
      </c>
      <c r="K29" s="185"/>
      <c r="L29" s="285">
        <v>4.8922078640077533E-3</v>
      </c>
      <c r="M29" s="183"/>
      <c r="N29" s="290">
        <v>4.8922078640077533E-3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190"/>
      <c r="H30" s="182"/>
      <c r="I30" s="305" t="s">
        <v>92</v>
      </c>
      <c r="J30" s="278">
        <f>SynthDepo!J39</f>
        <v>4.9296610027851238E-3</v>
      </c>
      <c r="K30" s="185"/>
      <c r="L30" s="284">
        <v>4.9296610027851238E-3</v>
      </c>
      <c r="M30" s="183"/>
      <c r="N30" s="288">
        <v>4.9296610027851238E-3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190"/>
      <c r="H31" s="182"/>
      <c r="I31" s="305" t="s">
        <v>93</v>
      </c>
      <c r="J31" s="278">
        <f>SynthDepo!J40</f>
        <v>4.9064154098128398E-3</v>
      </c>
      <c r="K31" s="185"/>
      <c r="L31" s="284">
        <v>4.9064154098128398E-3</v>
      </c>
      <c r="M31" s="183"/>
      <c r="N31" s="288">
        <v>4.9064154098128398E-3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190"/>
      <c r="H32" s="182"/>
      <c r="I32" s="305" t="s">
        <v>94</v>
      </c>
      <c r="J32" s="278">
        <f>SynthDepo!J41</f>
        <v>4.9234027274190914E-3</v>
      </c>
      <c r="K32" s="185"/>
      <c r="L32" s="284">
        <v>4.9234027274190914E-3</v>
      </c>
      <c r="M32" s="183"/>
      <c r="N32" s="288">
        <v>4.9234027274190914E-3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190"/>
      <c r="H33" s="184"/>
      <c r="I33" s="305" t="s">
        <v>95</v>
      </c>
      <c r="J33" s="278">
        <f>SynthDepo!J42</f>
        <v>4.9308558661889188E-3</v>
      </c>
      <c r="K33" s="185"/>
      <c r="L33" s="284">
        <v>4.9308558661889188E-3</v>
      </c>
      <c r="M33" s="183"/>
      <c r="N33" s="288">
        <v>4.9308558661889188E-3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190"/>
      <c r="H34" s="184"/>
      <c r="I34" s="305" t="s">
        <v>96</v>
      </c>
      <c r="J34" s="278">
        <f>SynthDepo!J43</f>
        <v>4.9178431837896795E-3</v>
      </c>
      <c r="K34" s="185"/>
      <c r="L34" s="284">
        <v>4.9178431837896795E-3</v>
      </c>
      <c r="M34" s="183"/>
      <c r="N34" s="288">
        <v>4.9178431837896795E-3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190"/>
      <c r="H35" s="184"/>
      <c r="I35" s="305" t="s">
        <v>97</v>
      </c>
      <c r="J35" s="278">
        <f>SynthDepo!J44</f>
        <v>4.9543646802007596E-3</v>
      </c>
      <c r="K35" s="185"/>
      <c r="L35" s="284">
        <v>4.9543646802007596E-3</v>
      </c>
      <c r="M35" s="183"/>
      <c r="N35" s="288">
        <v>4.9543646802007596E-3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190"/>
      <c r="H36" s="184"/>
      <c r="I36" s="305" t="s">
        <v>98</v>
      </c>
      <c r="J36" s="278">
        <f>SynthDepo!J45</f>
        <v>4.952283640110489E-3</v>
      </c>
      <c r="K36" s="185"/>
      <c r="L36" s="284">
        <v>4.952283640110489E-3</v>
      </c>
      <c r="M36" s="183"/>
      <c r="N36" s="288">
        <v>4.952283640110489E-3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190"/>
      <c r="H37" s="184"/>
      <c r="I37" s="305" t="s">
        <v>99</v>
      </c>
      <c r="J37" s="278">
        <f>SynthDepo!J46</f>
        <v>4.9285722260019836E-3</v>
      </c>
      <c r="K37" s="185"/>
      <c r="L37" s="284">
        <v>4.9285722260019836E-3</v>
      </c>
      <c r="M37" s="183"/>
      <c r="N37" s="288">
        <v>4.9285722260019836E-3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190"/>
      <c r="H38" s="184"/>
      <c r="I38" s="305" t="s">
        <v>100</v>
      </c>
      <c r="J38" s="278">
        <f>SynthDepo!J47</f>
        <v>4.9057924541891264E-3</v>
      </c>
      <c r="K38" s="185"/>
      <c r="L38" s="284">
        <v>4.9057924541891264E-3</v>
      </c>
      <c r="M38" s="183"/>
      <c r="N38" s="288">
        <v>4.9057924541891264E-3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190"/>
      <c r="H39" s="184"/>
      <c r="I39" s="305" t="s">
        <v>101</v>
      </c>
      <c r="J39" s="278">
        <f>SynthDepo!J48</f>
        <v>4.8932455929732825E-3</v>
      </c>
      <c r="K39" s="185"/>
      <c r="L39" s="284">
        <v>4.8932455929732825E-3</v>
      </c>
      <c r="M39" s="183"/>
      <c r="N39" s="288">
        <v>4.8932455929732825E-3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EUR1YD_SYNTH1Y_Quote#0000</v>
      </c>
      <c r="E40" s="320" t="str">
        <f>_xll.ohRangeRetrieveError(D40)</f>
        <v/>
      </c>
      <c r="F40" s="190"/>
      <c r="H40" s="184"/>
      <c r="I40" s="350" t="s">
        <v>102</v>
      </c>
      <c r="J40" s="282">
        <f>SynthDepo!J49</f>
        <v>4.8900000000000002E-3</v>
      </c>
      <c r="K40" s="185"/>
      <c r="L40" s="286">
        <v>4.8900000000000002E-3</v>
      </c>
      <c r="M40" s="183"/>
      <c r="N40" s="292">
        <v>4.8900000000000002E-3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EUR1x13F_SYNTH1Y_Quote#0000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SynthFra!N8</f>
        <v>4.8937846215228002E-3</v>
      </c>
      <c r="K41" s="241"/>
      <c r="L41" s="311">
        <v>4.8937846215228002E-3</v>
      </c>
      <c r="M41" s="242"/>
      <c r="N41" s="313">
        <v>4.8937846215228002E-3</v>
      </c>
      <c r="O41" s="314">
        <f>_xll.qlSimpleQuoteSetValue(D41,ROUND(N41,6),EvaluationDate)</f>
        <v>0</v>
      </c>
      <c r="P41" s="355">
        <f>_xll.ohTrigger(O41:O84)</f>
        <v>1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EUR2x14F_SYNTH1Y_Quote#0000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SynthFra!N9</f>
        <v>4.8929549728473874E-3</v>
      </c>
      <c r="K42" s="242"/>
      <c r="L42" s="311">
        <v>4.8929549728473874E-3</v>
      </c>
      <c r="M42" s="242"/>
      <c r="N42" s="313">
        <v>4.8929549728473874E-3</v>
      </c>
      <c r="O42" s="314">
        <f>_xll.qlSimpleQuoteSetValue(D42,ROUND(N42,6),EvaluationDate)</f>
        <v>0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EUR3x15F_SYNTH1Y_Quote#0000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SynthFra!N10</f>
        <v>4.9048393861664897E-3</v>
      </c>
      <c r="K43" s="242"/>
      <c r="L43" s="311">
        <v>4.9048393861664897E-3</v>
      </c>
      <c r="M43" s="242"/>
      <c r="N43" s="313">
        <v>4.9048393861664897E-3</v>
      </c>
      <c r="O43" s="314">
        <f>_xll.qlSimpleQuoteSetValue(D43,ROUND(N43,6),EvaluationDate)</f>
        <v>0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EUR4x16F_SYNTH1Y_Quote#0000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SynthFra!N11</f>
        <v>4.9133494443889614E-3</v>
      </c>
      <c r="K44" s="242"/>
      <c r="L44" s="311">
        <v>4.9133494443889614E-3</v>
      </c>
      <c r="M44" s="242"/>
      <c r="N44" s="313">
        <v>4.9133494443889614E-3</v>
      </c>
      <c r="O44" s="314">
        <f>_xll.qlSimpleQuoteSetValue(D44,ROUND(N44,6),EvaluationDate)</f>
        <v>0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EUR5x17F_SYNTH1Y_Quote#0000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SynthFra!N12</f>
        <v>4.9321822674661241E-3</v>
      </c>
      <c r="K45" s="242"/>
      <c r="L45" s="311">
        <v>4.9321822674661241E-3</v>
      </c>
      <c r="M45" s="242"/>
      <c r="N45" s="313">
        <v>4.9321822674661241E-3</v>
      </c>
      <c r="O45" s="314">
        <f>_xll.qlSimpleQuoteSetValue(D45,ROUND(N45,6),EvaluationDate)</f>
        <v>0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EUR6x18F_SYNTH1Y_Quote#0000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SynthFra!N13</f>
        <v>4.9678285917536431E-3</v>
      </c>
      <c r="K46" s="242"/>
      <c r="L46" s="311">
        <v>4.9678285917536431E-3</v>
      </c>
      <c r="M46" s="242"/>
      <c r="N46" s="313">
        <v>4.9678285917536431E-3</v>
      </c>
      <c r="O46" s="314">
        <f>_xll.qlSimpleQuoteSetValue(D46,ROUND(N46,6),EvaluationDate)</f>
        <v>0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EUR7x19F_SYNTH1Y_Quote#0000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SynthFra!N14</f>
        <v>4.9845021901215357E-3</v>
      </c>
      <c r="K47" s="242"/>
      <c r="L47" s="311">
        <v>4.9845021901215357E-3</v>
      </c>
      <c r="M47" s="242"/>
      <c r="N47" s="313">
        <v>4.9845021901215357E-3</v>
      </c>
      <c r="O47" s="314">
        <f>_xll.qlSimpleQuoteSetValue(D47,ROUND(N47,6),EvaluationDate)</f>
        <v>0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EUR8x20F_SYNTH1Y_Quote#0000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SynthFra!N15</f>
        <v>5.0369894133500568E-3</v>
      </c>
      <c r="K48" s="242"/>
      <c r="L48" s="311">
        <v>5.0369894133500568E-3</v>
      </c>
      <c r="M48" s="242"/>
      <c r="N48" s="313">
        <v>5.0369894133500568E-3</v>
      </c>
      <c r="O48" s="314">
        <f>_xll.qlSimpleQuoteSetValue(D48,ROUND(N48,6),EvaluationDate)</f>
        <v>0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EUR9x21F_SYNTH1Y_Quote#0000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SynthFra!N16</f>
        <v>5.1012280675738434E-3</v>
      </c>
      <c r="K49" s="242"/>
      <c r="L49" s="311">
        <v>5.1012280675738434E-3</v>
      </c>
      <c r="M49" s="242"/>
      <c r="N49" s="313">
        <v>5.1012280675738434E-3</v>
      </c>
      <c r="O49" s="314">
        <f>_xll.qlSimpleQuoteSetValue(D49,ROUND(N49,6),EvaluationDate)</f>
        <v>0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EUR10x22F_SYNTH1Y_Quote#0000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SynthFra!N17</f>
        <v>5.1835028727387324E-3</v>
      </c>
      <c r="K50" s="242"/>
      <c r="L50" s="311">
        <v>5.1835028727387324E-3</v>
      </c>
      <c r="M50" s="242"/>
      <c r="N50" s="313">
        <v>5.1835028727387324E-3</v>
      </c>
      <c r="O50" s="314">
        <f>_xll.qlSimpleQuoteSetValue(D50,ROUND(N50,6),EvaluationDate)</f>
        <v>0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EUR11x23F_SYNTH1Y_Quote#0000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SynthFra!N18</f>
        <v>5.2635318710918177E-3</v>
      </c>
      <c r="K51" s="242"/>
      <c r="L51" s="311">
        <v>5.2635318710918177E-3</v>
      </c>
      <c r="M51" s="242"/>
      <c r="N51" s="313">
        <v>5.2635318710918177E-3</v>
      </c>
      <c r="O51" s="314">
        <f>_xll.qlSimpleQuoteSetValue(D51,ROUND(N51,6),EvaluationDate)</f>
        <v>0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EUR13x25F_SYNTH1Y_Quote#0000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SynthFra!N19</f>
        <v>5.4322305903985006E-3</v>
      </c>
      <c r="K52" s="242"/>
      <c r="L52" s="311">
        <v>5.4322305903985006E-3</v>
      </c>
      <c r="M52" s="242"/>
      <c r="N52" s="313">
        <v>5.4322305903985006E-3</v>
      </c>
      <c r="O52" s="314">
        <f>_xll.qlSimpleQuoteSetValue(D52,ROUND(N52,6),EvaluationDate)</f>
        <v>0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EUR14x26F_SYNTH1Y_Quote#0000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SynthFra!N20</f>
        <v>5.5321519527100262E-3</v>
      </c>
      <c r="K53" s="242"/>
      <c r="L53" s="311">
        <v>5.5321519527100262E-3</v>
      </c>
      <c r="M53" s="242"/>
      <c r="N53" s="313">
        <v>5.5321519527100262E-3</v>
      </c>
      <c r="O53" s="314">
        <f>_xll.qlSimpleQuoteSetValue(D53,ROUND(N53,6),EvaluationDate)</f>
        <v>0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EUR15x27F_SYNTH1Y_Quote#0000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SynthFra!N21</f>
        <v>5.6389929505564632E-3</v>
      </c>
      <c r="K54" s="242"/>
      <c r="L54" s="311">
        <v>5.6389929505564632E-3</v>
      </c>
      <c r="M54" s="242"/>
      <c r="N54" s="313">
        <v>5.6389929505564632E-3</v>
      </c>
      <c r="O54" s="314">
        <f>_xll.qlSimpleQuoteSetValue(D54,ROUND(N54,6),EvaluationDate)</f>
        <v>0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EUR16x28F_SYNTH1Y_Quote#0000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SynthFra!N22</f>
        <v>5.7545702529594803E-3</v>
      </c>
      <c r="K55" s="242"/>
      <c r="L55" s="311">
        <v>5.7545702529594803E-3</v>
      </c>
      <c r="M55" s="242"/>
      <c r="N55" s="313">
        <v>5.7545702529594803E-3</v>
      </c>
      <c r="O55" s="314">
        <f>_xll.qlSimpleQuoteSetValue(D55,ROUND(N55,6),EvaluationDate)</f>
        <v>0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EUR17x29F_SYNTH1Y_Quote#0000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SynthFra!N23</f>
        <v>5.8757854386011325E-3</v>
      </c>
      <c r="K56" s="242"/>
      <c r="L56" s="311">
        <v>5.8757854386011325E-3</v>
      </c>
      <c r="M56" s="242"/>
      <c r="N56" s="313">
        <v>5.8757854386011325E-3</v>
      </c>
      <c r="O56" s="314">
        <f>_xll.qlSimpleQuoteSetValue(D56,ROUND(N56,6),EvaluationDate)</f>
        <v>0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EUR18x30F_SYNTH1Y_Quote#0000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SynthFra!N24</f>
        <v>6.0091383957247835E-3</v>
      </c>
      <c r="K57" s="242"/>
      <c r="L57" s="311">
        <v>6.0091383957247835E-3</v>
      </c>
      <c r="M57" s="242"/>
      <c r="N57" s="313">
        <v>6.0091383957247835E-3</v>
      </c>
      <c r="O57" s="314">
        <f>_xll.qlSimpleQuoteSetValue(D57,ROUND(N57,6),EvaluationDate)</f>
        <v>0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EUR19x31F_SYNTH1Y_Quote#0000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SynthFra!N25</f>
        <v>6.1319127127069575E-3</v>
      </c>
      <c r="K58" s="242"/>
      <c r="L58" s="311">
        <v>6.1319127127069575E-3</v>
      </c>
      <c r="M58" s="242"/>
      <c r="N58" s="313">
        <v>6.1319127127069575E-3</v>
      </c>
      <c r="O58" s="314">
        <f>_xll.qlSimpleQuoteSetValue(D58,ROUND(N58,6),EvaluationDate)</f>
        <v>0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EUR20x32F_SYNTH1Y_Quote#0000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SynthFra!N26</f>
        <v>6.2672581735201821E-3</v>
      </c>
      <c r="K59" s="242"/>
      <c r="L59" s="311">
        <v>6.2672581735201821E-3</v>
      </c>
      <c r="M59" s="242"/>
      <c r="N59" s="313">
        <v>6.2672581735201821E-3</v>
      </c>
      <c r="O59" s="314">
        <f>_xll.qlSimpleQuoteSetValue(D59,ROUND(N59,6),EvaluationDate)</f>
        <v>0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EUR21x33F_SYNTH1Y_Quote#0000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SynthFra!N27</f>
        <v>6.4120606240183403E-3</v>
      </c>
      <c r="K60" s="242"/>
      <c r="L60" s="311">
        <v>6.4120606240183403E-3</v>
      </c>
      <c r="M60" s="242"/>
      <c r="N60" s="313">
        <v>6.4120606240183403E-3</v>
      </c>
      <c r="O60" s="314">
        <f>_xll.qlSimpleQuoteSetValue(D60,ROUND(N60,6),EvaluationDate)</f>
        <v>0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EUR22x34F_SYNTH1Y_Quote#0000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SynthFra!N28</f>
        <v>6.5837138034104577E-3</v>
      </c>
      <c r="K61" s="242"/>
      <c r="L61" s="311">
        <v>6.5837138034104577E-3</v>
      </c>
      <c r="M61" s="242"/>
      <c r="N61" s="313">
        <v>6.5837138034104577E-3</v>
      </c>
      <c r="O61" s="314">
        <f>_xll.qlSimpleQuoteSetValue(D61,ROUND(N61,6),EvaluationDate)</f>
        <v>0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EUR23x35F_SYNTH1Y_Quote#0000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SynthFra!N29</f>
        <v>6.7391491191475129E-3</v>
      </c>
      <c r="K62" s="242"/>
      <c r="L62" s="311">
        <v>6.7391491191475129E-3</v>
      </c>
      <c r="M62" s="242"/>
      <c r="N62" s="313">
        <v>6.7391491191475129E-3</v>
      </c>
      <c r="O62" s="314">
        <f>_xll.qlSimpleQuoteSetValue(D62,ROUND(N62,6),EvaluationDate)</f>
        <v>0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EUR25x37F_SYNTH1Y_Quote#0000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SynthFra!N30</f>
        <v>7.1232821382276185E-3</v>
      </c>
      <c r="K63" s="242"/>
      <c r="L63" s="311">
        <v>7.1232821382276185E-3</v>
      </c>
      <c r="M63" s="242"/>
      <c r="N63" s="313">
        <v>7.1232821382276185E-3</v>
      </c>
      <c r="O63" s="314">
        <f>_xll.qlSimpleQuoteSetValue(D63,ROUND(N63,6),EvaluationDate)</f>
        <v>0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EUR26x38F_SYNTH1Y_Quote#0000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SynthFra!N31</f>
        <v>7.3230793506112602E-3</v>
      </c>
      <c r="K64" s="242"/>
      <c r="L64" s="311">
        <v>7.3230793506112602E-3</v>
      </c>
      <c r="M64" s="242"/>
      <c r="N64" s="313">
        <v>7.3230793506112602E-3</v>
      </c>
      <c r="O64" s="314">
        <f>_xll.qlSimpleQuoteSetValue(D64,ROUND(N64,6),EvaluationDate)</f>
        <v>0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EUR27x39F_SYNTH1Y_Quote#0000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SynthFra!N32</f>
        <v>7.5587404043618092E-3</v>
      </c>
      <c r="K65" s="242"/>
      <c r="L65" s="311">
        <v>7.5587404043618092E-3</v>
      </c>
      <c r="M65" s="242"/>
      <c r="N65" s="313">
        <v>7.5587404043618092E-3</v>
      </c>
      <c r="O65" s="314">
        <f>_xll.qlSimpleQuoteSetValue(D65,ROUND(N65,6),EvaluationDate)</f>
        <v>0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EUR28x40F_SYNTH1Y_Quote#0000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SynthFra!N33</f>
        <v>7.7944800696233604E-3</v>
      </c>
      <c r="K66" s="242"/>
      <c r="L66" s="311">
        <v>7.7944800696233604E-3</v>
      </c>
      <c r="M66" s="242"/>
      <c r="N66" s="313">
        <v>7.7944800696233604E-3</v>
      </c>
      <c r="O66" s="314">
        <f>_xll.qlSimpleQuoteSetValue(D66,ROUND(N66,6),EvaluationDate)</f>
        <v>0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EUR29x41F_SYNTH1Y_Quote#0000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SynthFra!N34</f>
        <v>8.0405111183897669E-3</v>
      </c>
      <c r="K67" s="242"/>
      <c r="L67" s="311">
        <v>8.0405111183897669E-3</v>
      </c>
      <c r="M67" s="242"/>
      <c r="N67" s="313">
        <v>8.0405111183897669E-3</v>
      </c>
      <c r="O67" s="314">
        <f>_xll.qlSimpleQuoteSetValue(D67,ROUND(N67,6),EvaluationDate)</f>
        <v>0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EUR30x42F_SYNTH1Y_Quote#0000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SynthFra!N35</f>
        <v>8.3217659658808077E-3</v>
      </c>
      <c r="K68" s="242"/>
      <c r="L68" s="311">
        <v>8.3217659658808077E-3</v>
      </c>
      <c r="M68" s="242"/>
      <c r="N68" s="313">
        <v>8.3217659658808077E-3</v>
      </c>
      <c r="O68" s="314">
        <f>_xll.qlSimpleQuoteSetValue(D68,ROUND(N68,6),EvaluationDate)</f>
        <v>0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EUR31x43F_SYNTH1Y_Quote#0000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SynthFra!N36</f>
        <v>8.5674044802459479E-3</v>
      </c>
      <c r="K69" s="242"/>
      <c r="L69" s="311">
        <v>8.5674044802459479E-3</v>
      </c>
      <c r="M69" s="242"/>
      <c r="N69" s="313">
        <v>8.5674044802459479E-3</v>
      </c>
      <c r="O69" s="314">
        <f>_xll.qlSimpleQuoteSetValue(D69,ROUND(N69,6),EvaluationDate)</f>
        <v>0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EUR32x44F_SYNTH1Y_Quote#0000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SynthFra!N37</f>
        <v>8.8269351223983009E-3</v>
      </c>
      <c r="K70" s="242"/>
      <c r="L70" s="311">
        <v>8.8269351223983009E-3</v>
      </c>
      <c r="M70" s="242"/>
      <c r="N70" s="313">
        <v>8.8269351223983009E-3</v>
      </c>
      <c r="O70" s="314">
        <f>_xll.qlSimpleQuoteSetValue(D70,ROUND(N70,6),EvaluationDate)</f>
        <v>0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EUR33x45F_SYNTH1Y_Quote#0000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SynthFra!N38</f>
        <v>9.0991854011479145E-3</v>
      </c>
      <c r="K71" s="242"/>
      <c r="L71" s="311">
        <v>9.0991854011479145E-3</v>
      </c>
      <c r="M71" s="242"/>
      <c r="N71" s="313">
        <v>9.0991854011479145E-3</v>
      </c>
      <c r="O71" s="314">
        <f>_xll.qlSimpleQuoteSetValue(D71,ROUND(N71,6),EvaluationDate)</f>
        <v>0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EUR34x46F_SYNTH1Y_Quote#0000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SynthFra!N39</f>
        <v>9.3918053799206536E-3</v>
      </c>
      <c r="K72" s="242"/>
      <c r="L72" s="311">
        <v>9.3918053799206536E-3</v>
      </c>
      <c r="M72" s="242"/>
      <c r="N72" s="313">
        <v>9.3918053799206536E-3</v>
      </c>
      <c r="O72" s="314">
        <f>_xll.qlSimpleQuoteSetValue(D72,ROUND(N72,6),EvaluationDate)</f>
        <v>0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EUR35x47F_SYNTH1Y_Quote#0000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SynthFra!N40</f>
        <v>9.6571823452942587E-3</v>
      </c>
      <c r="K73" s="242"/>
      <c r="L73" s="311">
        <v>9.6571823452942587E-3</v>
      </c>
      <c r="M73" s="242"/>
      <c r="N73" s="313">
        <v>9.6571823452942587E-3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EUR37x49F_SYNTH1Y_Quote#0000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SynthFra!N41</f>
        <v>1.0220308120069261E-2</v>
      </c>
      <c r="K74" s="242"/>
      <c r="L74" s="311">
        <v>1.0220308120069261E-2</v>
      </c>
      <c r="M74" s="242"/>
      <c r="N74" s="313">
        <v>1.0220308120069261E-2</v>
      </c>
      <c r="O74" s="314">
        <f>_xll.qlSimpleQuoteSetValue(D74,ROUND(N74,6),EvaluationDate)</f>
        <v>0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EUR38x50F_SYNTH1Y_Quote#0000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SynthFra!N42</f>
        <v>1.0493765432492707E-2</v>
      </c>
      <c r="K75" s="242"/>
      <c r="L75" s="311">
        <v>1.0493765432492707E-2</v>
      </c>
      <c r="M75" s="242"/>
      <c r="N75" s="313">
        <v>1.0493765432492707E-2</v>
      </c>
      <c r="O75" s="314">
        <f>_xll.qlSimpleQuoteSetValue(D75,ROUND(N75,6),EvaluationDate)</f>
        <v>0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EUR39x51F_SYNTH1Y_Quote#0000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SynthFra!N43</f>
        <v>1.0796237118172267E-2</v>
      </c>
      <c r="K76" s="242"/>
      <c r="L76" s="311">
        <v>1.0796237118172267E-2</v>
      </c>
      <c r="M76" s="242"/>
      <c r="N76" s="313">
        <v>1.0796237118172267E-2</v>
      </c>
      <c r="O76" s="314">
        <f>_xll.qlSimpleQuoteSetValue(D76,ROUND(N76,6),EvaluationDate)</f>
        <v>0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EUR40x52F_SYNTH1Y_Quote#0000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SynthFra!N44</f>
        <v>1.1054332615489257E-2</v>
      </c>
      <c r="K77" s="242"/>
      <c r="L77" s="311">
        <v>1.1054332615489255E-2</v>
      </c>
      <c r="M77" s="242"/>
      <c r="N77" s="313">
        <v>1.1054332615489257E-2</v>
      </c>
      <c r="O77" s="314">
        <f>_xll.qlSimpleQuoteSetValue(D77,ROUND(N77,6),EvaluationDate)</f>
        <v>0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EUR41x53F_SYNTH1Y_Quote#0000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SynthFra!N45</f>
        <v>1.1341725516448744E-2</v>
      </c>
      <c r="K78" s="242"/>
      <c r="L78" s="311">
        <v>1.1341725516448744E-2</v>
      </c>
      <c r="M78" s="242"/>
      <c r="N78" s="313">
        <v>1.1341725516448744E-2</v>
      </c>
      <c r="O78" s="314">
        <f>_xll.qlSimpleQuoteSetValue(D78,ROUND(N78,6),EvaluationDate)</f>
        <v>0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EUR42x54F_SYNTH1Y_Quote#0000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SynthFra!N46</f>
        <v>1.1640297854331294E-2</v>
      </c>
      <c r="K79" s="242"/>
      <c r="L79" s="311">
        <v>1.1640297854331294E-2</v>
      </c>
      <c r="M79" s="242"/>
      <c r="N79" s="313">
        <v>1.1640297854331294E-2</v>
      </c>
      <c r="O79" s="314">
        <f>_xll.qlSimpleQuoteSetValue(D79,ROUND(N79,6),EvaluationDate)</f>
        <v>0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EUR43x55F_SYNTH1Y_Quote#0000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SynthFra!N47</f>
        <v>1.1903219234791679E-2</v>
      </c>
      <c r="K80" s="242"/>
      <c r="L80" s="311">
        <v>1.1903219234791679E-2</v>
      </c>
      <c r="M80" s="242"/>
      <c r="N80" s="313">
        <v>1.1903219234791679E-2</v>
      </c>
      <c r="O80" s="314">
        <f>_xll.qlSimpleQuoteSetValue(D80,ROUND(N80,6),EvaluationDate)</f>
        <v>0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EUR44x56F_SYNTH1Y_Quote#0000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SynthFra!N48</f>
        <v>1.2186732674034617E-2</v>
      </c>
      <c r="K81" s="242"/>
      <c r="L81" s="311">
        <v>1.2186732674034617E-2</v>
      </c>
      <c r="M81" s="242"/>
      <c r="N81" s="313">
        <v>1.2186732674034617E-2</v>
      </c>
      <c r="O81" s="314">
        <f>_xll.qlSimpleQuoteSetValue(D81,ROUND(N81,6),EvaluationDate)</f>
        <v>0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EUR45x57F_SYNTH1Y_Quote#0000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SynthFra!N49</f>
        <v>1.2482035326433936E-2</v>
      </c>
      <c r="K82" s="242"/>
      <c r="L82" s="311">
        <v>1.2482035326433936E-2</v>
      </c>
      <c r="M82" s="242"/>
      <c r="N82" s="313">
        <v>1.2482035326433936E-2</v>
      </c>
      <c r="O82" s="314">
        <f>_xll.qlSimpleQuoteSetValue(D82,ROUND(N82,6),EvaluationDate)</f>
        <v>0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EUR46x58F_SYNTH1Y_Quote#0000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SynthFra!N50</f>
        <v>1.276933393122282E-2</v>
      </c>
      <c r="K83" s="242"/>
      <c r="L83" s="311">
        <v>1.276933393122282E-2</v>
      </c>
      <c r="M83" s="242"/>
      <c r="N83" s="313">
        <v>1.276933393122282E-2</v>
      </c>
      <c r="O83" s="314">
        <f>_xll.qlSimpleQuoteSetValue(D83,ROUND(N83,6),EvaluationDate)</f>
        <v>0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EUR47x59F_SYNTH1Y_Quote#0000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SynthFra!N51</f>
        <v>1.305904193721328E-2</v>
      </c>
      <c r="K84" s="242"/>
      <c r="L84" s="312">
        <v>1.305904193721328E-2</v>
      </c>
      <c r="M84" s="242"/>
      <c r="N84" s="351">
        <v>1.305904193721328E-2</v>
      </c>
      <c r="O84" s="352">
        <f>_xll.qlSimpleQuoteSetValue(D84,ROUND(N84,6),EvaluationDate)</f>
        <v>0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51</vt:i4>
      </vt:variant>
    </vt:vector>
  </HeadingPairs>
  <TitlesOfParts>
    <vt:vector size="56" baseType="lpstr">
      <vt:lpstr>General Settings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2014-03-18T13:51:31Z</cp:lastPrinted>
  <dcterms:created xsi:type="dcterms:W3CDTF">2007-10-30T15:41:10Z</dcterms:created>
  <dcterms:modified xsi:type="dcterms:W3CDTF">2014-07-31T10:58:55Z</dcterms:modified>
</cp:coreProperties>
</file>