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Contribution!$A$5:$AD$5</definedName>
    <definedName name="ASK">Contribution!$I$2</definedName>
    <definedName name="BID">Contribution!$H$2</definedName>
    <definedName name="Calendar">'General Settings'!$D$18</definedName>
    <definedName name="Contribute">Contribution!$C$2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Contribution!$H$2:$I$2</definedName>
    <definedName name="FixDayCounter" localSheetId="2">'ON Pricing'!$P$9</definedName>
    <definedName name="FixedLegBDC" localSheetId="4">'6M Pricing'!$P$25</definedName>
    <definedName name="FixedLegBDC">'3M Pricing'!$P$25</definedName>
    <definedName name="FixedLegDayCounter" localSheetId="3">'3M Pricing'!$Q$25</definedName>
    <definedName name="FixedLegDayCounter" localSheetId="4">'6M Pricing'!$Q$25</definedName>
    <definedName name="FixedLegTenor" localSheetId="3">'3M Pricing'!$O$25</definedName>
    <definedName name="FixedLegTenor" localSheetId="4">'6M Pricing'!$O$25</definedName>
    <definedName name="ForwardStart" localSheetId="2">'ON Pricing'!$O$9</definedName>
    <definedName name="IborIndex" localSheetId="3">'3M Pricing'!$M$14</definedName>
    <definedName name="IborIndex" localSheetId="4">'6M Pricing'!$M$17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Pricing'!$M$6</definedName>
    <definedName name="SettlementDate">'General Settings'!$D$19</definedName>
    <definedName name="SettlementDays">'General Settings'!$D$14</definedName>
    <definedName name="SourceAlias">Contribution!$F$2</definedName>
    <definedName name="Trigger">'General Settings'!$D$4</definedName>
    <definedName name="YieldCurve" localSheetId="3">'3M Pricing'!$F$3</definedName>
    <definedName name="YieldCurve" localSheetId="4">'6M Pricing'!$F$3</definedName>
    <definedName name="YieldCurve" localSheetId="2">'ON Pricing'!$F$3</definedName>
  </definedNames>
  <calcPr calcId="145621"/>
</workbook>
</file>

<file path=xl/calcChain.xml><?xml version="1.0" encoding="utf-8"?>
<calcChain xmlns="http://schemas.openxmlformats.org/spreadsheetml/2006/main">
  <c r="K39" i="11" l="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D15" i="10"/>
  <c r="K15" i="10" s="1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3" i="12"/>
  <c r="K20" i="12"/>
  <c r="K17" i="12"/>
  <c r="K16" i="12"/>
  <c r="K15" i="12"/>
  <c r="K14" i="12"/>
  <c r="K13" i="12"/>
  <c r="K12" i="12"/>
  <c r="N39" i="7"/>
  <c r="J39" i="12" s="1"/>
  <c r="N38" i="7"/>
  <c r="J38" i="12" s="1"/>
  <c r="N37" i="7"/>
  <c r="J37" i="12" s="1"/>
  <c r="N36" i="7"/>
  <c r="J36" i="12" s="1"/>
  <c r="N35" i="7"/>
  <c r="J35" i="12" s="1"/>
  <c r="N34" i="7"/>
  <c r="J34" i="12" s="1"/>
  <c r="N33" i="7"/>
  <c r="J33" i="12" s="1"/>
  <c r="N32" i="7"/>
  <c r="J32" i="12" s="1"/>
  <c r="N31" i="7"/>
  <c r="J31" i="12" s="1"/>
  <c r="N30" i="7"/>
  <c r="J30" i="12" s="1"/>
  <c r="N29" i="7"/>
  <c r="J29" i="12" s="1"/>
  <c r="N28" i="7"/>
  <c r="J28" i="12" s="1"/>
  <c r="N27" i="7"/>
  <c r="J27" i="12" s="1"/>
  <c r="N26" i="7"/>
  <c r="J26" i="12" s="1"/>
  <c r="N25" i="7"/>
  <c r="J25" i="12" s="1"/>
  <c r="N23" i="7"/>
  <c r="J23" i="12" s="1"/>
  <c r="N20" i="7"/>
  <c r="J20" i="12" s="1"/>
  <c r="N17" i="7"/>
  <c r="J17" i="12" s="1"/>
  <c r="N16" i="7"/>
  <c r="J16" i="12" s="1"/>
  <c r="N15" i="7"/>
  <c r="J15" i="12" s="1"/>
  <c r="N14" i="7"/>
  <c r="J14" i="12" s="1"/>
  <c r="N13" i="7"/>
  <c r="J13" i="12" s="1"/>
  <c r="N12" i="7"/>
  <c r="J12" i="12" s="1"/>
  <c r="N11" i="7"/>
  <c r="J11" i="12" s="1"/>
  <c r="N10" i="7"/>
  <c r="J10" i="12" s="1"/>
  <c r="N9" i="7"/>
  <c r="J9" i="12" s="1"/>
  <c r="N8" i="7"/>
  <c r="J8" i="12" s="1"/>
  <c r="N7" i="7"/>
  <c r="J7" i="12" s="1"/>
  <c r="N6" i="7"/>
  <c r="J6" i="12" s="1"/>
  <c r="V39" i="7"/>
  <c r="J39" i="11" s="1"/>
  <c r="V38" i="7"/>
  <c r="J38" i="11" s="1"/>
  <c r="V37" i="7"/>
  <c r="J37" i="11" s="1"/>
  <c r="V36" i="7"/>
  <c r="J36" i="11" s="1"/>
  <c r="V35" i="7"/>
  <c r="J35" i="11" s="1"/>
  <c r="V34" i="7"/>
  <c r="J34" i="11" s="1"/>
  <c r="V33" i="7"/>
  <c r="J33" i="11" s="1"/>
  <c r="V32" i="7"/>
  <c r="J32" i="11" s="1"/>
  <c r="V31" i="7"/>
  <c r="J31" i="11" s="1"/>
  <c r="V30" i="7"/>
  <c r="J30" i="11" s="1"/>
  <c r="V29" i="7"/>
  <c r="J29" i="11" s="1"/>
  <c r="V28" i="7"/>
  <c r="J28" i="11" s="1"/>
  <c r="V27" i="7"/>
  <c r="J27" i="11" s="1"/>
  <c r="V26" i="7"/>
  <c r="J26" i="11" s="1"/>
  <c r="V25" i="7"/>
  <c r="J25" i="11" s="1"/>
  <c r="V23" i="7"/>
  <c r="J23" i="11" s="1"/>
  <c r="V22" i="7"/>
  <c r="J22" i="11" s="1"/>
  <c r="V21" i="7"/>
  <c r="J21" i="11" s="1"/>
  <c r="V20" i="7"/>
  <c r="J20" i="11" s="1"/>
  <c r="V19" i="7"/>
  <c r="J19" i="11" s="1"/>
  <c r="V18" i="7"/>
  <c r="J18" i="11" s="1"/>
  <c r="V17" i="7"/>
  <c r="J17" i="11" s="1"/>
  <c r="V16" i="7"/>
  <c r="J16" i="11" s="1"/>
  <c r="V15" i="7"/>
  <c r="J15" i="11" s="1"/>
  <c r="V14" i="7"/>
  <c r="J14" i="11" s="1"/>
  <c r="V13" i="7"/>
  <c r="J13" i="11" s="1"/>
  <c r="V12" i="7"/>
  <c r="J12" i="11" s="1"/>
  <c r="V11" i="7"/>
  <c r="V10" i="7"/>
  <c r="J10" i="11" s="1"/>
  <c r="V9" i="7"/>
  <c r="J9" i="11" s="1"/>
  <c r="V8" i="7"/>
  <c r="J8" i="11" s="1"/>
  <c r="V7" i="7"/>
  <c r="J7" i="11" s="1"/>
  <c r="V6" i="7"/>
  <c r="R39" i="7"/>
  <c r="J39" i="10" s="1"/>
  <c r="R38" i="7"/>
  <c r="J38" i="10" s="1"/>
  <c r="R37" i="7"/>
  <c r="J37" i="10" s="1"/>
  <c r="R36" i="7"/>
  <c r="J36" i="10" s="1"/>
  <c r="R35" i="7"/>
  <c r="J35" i="10" s="1"/>
  <c r="R34" i="7"/>
  <c r="J34" i="10" s="1"/>
  <c r="R33" i="7"/>
  <c r="J33" i="10" s="1"/>
  <c r="R32" i="7"/>
  <c r="J32" i="10" s="1"/>
  <c r="R31" i="7"/>
  <c r="J31" i="10" s="1"/>
  <c r="R30" i="7"/>
  <c r="J30" i="10" s="1"/>
  <c r="R29" i="7"/>
  <c r="J29" i="10" s="1"/>
  <c r="R28" i="7"/>
  <c r="J28" i="10" s="1"/>
  <c r="R27" i="7"/>
  <c r="J27" i="10" s="1"/>
  <c r="R26" i="7"/>
  <c r="J26" i="10" s="1"/>
  <c r="R25" i="7"/>
  <c r="J25" i="10" s="1"/>
  <c r="R24" i="7"/>
  <c r="J24" i="10" s="1"/>
  <c r="R23" i="7"/>
  <c r="J23" i="10" s="1"/>
  <c r="R20" i="7"/>
  <c r="J20" i="10" s="1"/>
  <c r="R19" i="7"/>
  <c r="J19" i="10" s="1"/>
  <c r="R18" i="7"/>
  <c r="J18" i="10" s="1"/>
  <c r="R17" i="7"/>
  <c r="J17" i="10" s="1"/>
  <c r="R16" i="7"/>
  <c r="J16" i="10" s="1"/>
  <c r="R15" i="7"/>
  <c r="J15" i="10" s="1"/>
  <c r="R14" i="7"/>
  <c r="J14" i="10" s="1"/>
  <c r="R13" i="7"/>
  <c r="J13" i="10" s="1"/>
  <c r="R12" i="7"/>
  <c r="J12" i="10" s="1"/>
  <c r="R11" i="7"/>
  <c r="J11" i="10" s="1"/>
  <c r="R10" i="7"/>
  <c r="J10" i="10" s="1"/>
  <c r="R9" i="7"/>
  <c r="J9" i="10" s="1"/>
  <c r="R8" i="7"/>
  <c r="J8" i="10" s="1"/>
  <c r="R7" i="7"/>
  <c r="J7" i="10" s="1"/>
  <c r="R6" i="7"/>
  <c r="J6" i="10" s="1"/>
  <c r="K10" i="7"/>
  <c r="J27" i="7"/>
  <c r="G26" i="7"/>
  <c r="F15" i="7"/>
  <c r="J11" i="11" l="1"/>
  <c r="J6" i="11"/>
  <c r="F3" i="12" l="1"/>
  <c r="D24" i="10"/>
  <c r="K24" i="10" s="1"/>
  <c r="D23" i="10"/>
  <c r="K23" i="10" s="1"/>
  <c r="D22" i="10"/>
  <c r="D21" i="10"/>
  <c r="D20" i="10"/>
  <c r="K20" i="10" s="1"/>
  <c r="D19" i="10"/>
  <c r="K19" i="10" s="1"/>
  <c r="D18" i="10"/>
  <c r="K18" i="10" s="1"/>
  <c r="D17" i="10"/>
  <c r="K17" i="10" s="1"/>
  <c r="D16" i="10"/>
  <c r="K16" i="10" s="1"/>
  <c r="D24" i="11"/>
  <c r="D23" i="11"/>
  <c r="K23" i="11" s="1"/>
  <c r="D22" i="11"/>
  <c r="K22" i="11" s="1"/>
  <c r="D21" i="11"/>
  <c r="K21" i="11" s="1"/>
  <c r="D20" i="11"/>
  <c r="K20" i="11" s="1"/>
  <c r="D19" i="11"/>
  <c r="K19" i="11" s="1"/>
  <c r="D18" i="11"/>
  <c r="K18" i="11" s="1"/>
  <c r="F3" i="11"/>
  <c r="M15" i="11"/>
  <c r="M12" i="11"/>
  <c r="M9" i="11"/>
  <c r="M8" i="11"/>
  <c r="M16" i="11"/>
  <c r="M11" i="11"/>
  <c r="M6" i="12"/>
  <c r="M14" i="11"/>
  <c r="M10" i="11"/>
  <c r="M13" i="11"/>
  <c r="M11" i="12"/>
  <c r="M30" i="12"/>
  <c r="M19" i="12"/>
  <c r="M31" i="12"/>
  <c r="M33" i="12"/>
  <c r="M15" i="12"/>
  <c r="M38" i="12"/>
  <c r="M23" i="12"/>
  <c r="M39" i="12"/>
  <c r="M12" i="12"/>
  <c r="M24" i="12"/>
  <c r="M32" i="12"/>
  <c r="M9" i="12"/>
  <c r="M20" i="12"/>
  <c r="M25" i="12"/>
  <c r="M16" i="12"/>
  <c r="M13" i="12"/>
  <c r="M26" i="12"/>
  <c r="M34" i="12"/>
  <c r="M17" i="12"/>
  <c r="M21" i="12"/>
  <c r="M27" i="12"/>
  <c r="M35" i="12"/>
  <c r="M10" i="12"/>
  <c r="M14" i="12"/>
  <c r="M28" i="12"/>
  <c r="M36" i="12"/>
  <c r="M18" i="12"/>
  <c r="M22" i="12"/>
  <c r="M29" i="12"/>
  <c r="M37" i="12"/>
  <c r="G15" i="12"/>
  <c r="H15" i="12"/>
  <c r="H13" i="12"/>
  <c r="G13" i="12"/>
  <c r="H10" i="12"/>
  <c r="G10" i="12"/>
  <c r="F3" i="10" l="1"/>
  <c r="H14" i="12"/>
  <c r="M12" i="10"/>
  <c r="G14" i="12"/>
  <c r="M13" i="10"/>
  <c r="G16" i="12"/>
  <c r="H16" i="12"/>
  <c r="M9" i="10"/>
  <c r="H11" i="12"/>
  <c r="M10" i="10"/>
  <c r="H12" i="12"/>
  <c r="G9" i="12"/>
  <c r="M8" i="10"/>
  <c r="M11" i="10"/>
  <c r="G11" i="12"/>
  <c r="G12" i="12"/>
  <c r="D12" i="2" l="1"/>
  <c r="B1" i="2"/>
  <c r="D14" i="2"/>
  <c r="H38" i="12"/>
  <c r="H27" i="12"/>
  <c r="H31" i="12"/>
  <c r="H29" i="12"/>
  <c r="G28" i="12"/>
  <c r="H25" i="12"/>
  <c r="G19" i="12"/>
  <c r="H39" i="12"/>
  <c r="H34" i="12"/>
  <c r="G31" i="12"/>
  <c r="G30" i="12"/>
  <c r="G37" i="12"/>
  <c r="H33" i="12"/>
  <c r="G38" i="12"/>
  <c r="G23" i="12"/>
  <c r="H9" i="12"/>
  <c r="H18" i="12"/>
  <c r="H20" i="12"/>
  <c r="H26" i="12"/>
  <c r="G39" i="12"/>
  <c r="H24" i="12"/>
  <c r="H35" i="12"/>
  <c r="G24" i="12"/>
  <c r="H19" i="12"/>
  <c r="H21" i="12"/>
  <c r="G29" i="12"/>
  <c r="H23" i="12"/>
  <c r="H30" i="12"/>
  <c r="H17" i="12"/>
  <c r="D5" i="2"/>
  <c r="H36" i="12"/>
  <c r="H22" i="12"/>
  <c r="F6" i="12" l="1"/>
  <c r="M17" i="11"/>
  <c r="M14" i="10"/>
  <c r="F37" i="10"/>
  <c r="F38" i="10"/>
  <c r="F6" i="11"/>
  <c r="F34" i="11"/>
  <c r="F39" i="10"/>
  <c r="F10" i="11"/>
  <c r="F29" i="11"/>
  <c r="F39" i="11"/>
  <c r="F32" i="10"/>
  <c r="F12" i="11"/>
  <c r="F7" i="11"/>
  <c r="F13" i="11"/>
  <c r="F7" i="10"/>
  <c r="F26" i="10"/>
  <c r="F28" i="10"/>
  <c r="F30" i="11"/>
  <c r="F12" i="10"/>
  <c r="F35" i="11"/>
  <c r="F29" i="10"/>
  <c r="G6" i="11"/>
  <c r="F32" i="11"/>
  <c r="F10" i="10"/>
  <c r="F36" i="10"/>
  <c r="F11" i="10"/>
  <c r="F25" i="10"/>
  <c r="F31" i="10"/>
  <c r="F33" i="10"/>
  <c r="F27" i="11"/>
  <c r="F15" i="11"/>
  <c r="F34" i="10"/>
  <c r="F17" i="11"/>
  <c r="F9" i="11"/>
  <c r="F14" i="10"/>
  <c r="F6" i="10"/>
  <c r="F37" i="11"/>
  <c r="F13" i="10"/>
  <c r="F27" i="10"/>
  <c r="F35" i="10"/>
  <c r="F30" i="10"/>
  <c r="F33" i="11"/>
  <c r="F31" i="11"/>
  <c r="F8" i="11"/>
  <c r="F25" i="11"/>
  <c r="F26" i="11"/>
  <c r="G6" i="10"/>
  <c r="F14" i="11"/>
  <c r="F36" i="11"/>
  <c r="F28" i="11"/>
  <c r="F11" i="11"/>
  <c r="F9" i="10"/>
  <c r="F38" i="11"/>
  <c r="F16" i="11"/>
  <c r="F8" i="10"/>
  <c r="G6" i="12"/>
  <c r="G34" i="12"/>
  <c r="G13" i="10"/>
  <c r="G11" i="10"/>
  <c r="G8" i="11"/>
  <c r="G20" i="12"/>
  <c r="H32" i="12"/>
  <c r="G16" i="11"/>
  <c r="G26" i="12"/>
  <c r="H37" i="12"/>
  <c r="H28" i="12"/>
  <c r="G32" i="12"/>
  <c r="G12" i="10"/>
  <c r="G14" i="11"/>
  <c r="G10" i="10"/>
  <c r="G17" i="12"/>
  <c r="G17" i="11"/>
  <c r="G10" i="11"/>
  <c r="G25" i="12"/>
  <c r="G11" i="11"/>
  <c r="G33" i="12"/>
  <c r="G12" i="11"/>
  <c r="G13" i="11"/>
  <c r="G8" i="10"/>
  <c r="G9" i="10"/>
  <c r="G36" i="12"/>
  <c r="D17" i="2"/>
  <c r="H10" i="10"/>
  <c r="G15" i="11"/>
  <c r="G22" i="12"/>
  <c r="G14" i="10"/>
  <c r="G35" i="12"/>
  <c r="G21" i="12"/>
  <c r="G27" i="12"/>
  <c r="G9" i="11"/>
  <c r="G18" i="12"/>
  <c r="D18" i="2" l="1"/>
  <c r="B10" i="10"/>
  <c r="H8" i="11"/>
  <c r="H6" i="12"/>
  <c r="M35" i="10"/>
  <c r="M32" i="11"/>
  <c r="M34" i="10"/>
  <c r="M30" i="11"/>
  <c r="H9" i="10"/>
  <c r="M28" i="11"/>
  <c r="M25" i="10"/>
  <c r="H6" i="10"/>
  <c r="M39" i="10"/>
  <c r="M31" i="11"/>
  <c r="M36" i="10"/>
  <c r="H16" i="11"/>
  <c r="H8" i="10"/>
  <c r="D19" i="2"/>
  <c r="G22" i="11"/>
  <c r="G23" i="10"/>
  <c r="H23" i="10" s="1"/>
  <c r="G15" i="10"/>
  <c r="H12" i="11"/>
  <c r="M26" i="10"/>
  <c r="F22" i="11"/>
  <c r="M30" i="10"/>
  <c r="H15" i="10"/>
  <c r="M31" i="10"/>
  <c r="M37" i="11"/>
  <c r="H12" i="10"/>
  <c r="H7" i="10"/>
  <c r="M26" i="11"/>
  <c r="G26" i="11"/>
  <c r="G22" i="10"/>
  <c r="H11" i="11"/>
  <c r="H13" i="11"/>
  <c r="M35" i="11"/>
  <c r="M38" i="11"/>
  <c r="M27" i="10"/>
  <c r="H22" i="11"/>
  <c r="H7" i="11"/>
  <c r="G24" i="10"/>
  <c r="H13" i="10"/>
  <c r="M27" i="11"/>
  <c r="H14" i="11"/>
  <c r="M38" i="10"/>
  <c r="M37" i="10"/>
  <c r="M25" i="11"/>
  <c r="H14" i="10"/>
  <c r="G17" i="10"/>
  <c r="G23" i="11"/>
  <c r="M34" i="11"/>
  <c r="M36" i="11"/>
  <c r="M39" i="11"/>
  <c r="M32" i="10"/>
  <c r="H9" i="11"/>
  <c r="H15" i="11"/>
  <c r="H11" i="10"/>
  <c r="H10" i="11"/>
  <c r="G19" i="11"/>
  <c r="F15" i="10"/>
  <c r="G16" i="10"/>
  <c r="H6" i="11"/>
  <c r="M33" i="11"/>
  <c r="M33" i="10"/>
  <c r="M29" i="11"/>
  <c r="H17" i="11"/>
  <c r="M29" i="10"/>
  <c r="M28" i="10"/>
  <c r="G39" i="10"/>
  <c r="G19" i="10"/>
  <c r="G20" i="11"/>
  <c r="F23" i="10"/>
  <c r="G18" i="10"/>
  <c r="G18" i="11"/>
  <c r="G21" i="10"/>
  <c r="G24" i="11"/>
  <c r="G21" i="11"/>
  <c r="G20" i="10"/>
  <c r="H22" i="10"/>
  <c r="F22" i="10"/>
  <c r="F24" i="10"/>
  <c r="F19" i="11"/>
  <c r="H19" i="11"/>
  <c r="H16" i="10"/>
  <c r="F16" i="10"/>
  <c r="F19" i="10"/>
  <c r="H19" i="10"/>
  <c r="H18" i="10"/>
  <c r="F18" i="10"/>
  <c r="F18" i="11"/>
  <c r="H18" i="11"/>
  <c r="F21" i="10"/>
  <c r="H21" i="10"/>
  <c r="H24" i="11"/>
  <c r="F24" i="11"/>
  <c r="H20" i="10"/>
  <c r="F20" i="10"/>
  <c r="B8" i="11" l="1"/>
  <c r="B13" i="10"/>
  <c r="G7" i="10"/>
  <c r="G7" i="11"/>
  <c r="B9" i="10"/>
  <c r="B13" i="11"/>
  <c r="B16" i="11"/>
  <c r="B14" i="10"/>
  <c r="B12" i="11"/>
  <c r="B6" i="11"/>
  <c r="B7" i="11"/>
  <c r="B7" i="10"/>
  <c r="B6" i="10"/>
  <c r="B12" i="10"/>
  <c r="B14" i="11"/>
  <c r="B17" i="11"/>
  <c r="B11" i="11"/>
  <c r="B9" i="11"/>
  <c r="B15" i="11"/>
  <c r="B10" i="11"/>
  <c r="B11" i="10"/>
  <c r="B8" i="10"/>
  <c r="F7" i="12"/>
  <c r="H21" i="11"/>
  <c r="G35" i="10"/>
  <c r="F20" i="11"/>
  <c r="G35" i="11"/>
  <c r="G31" i="11"/>
  <c r="G26" i="10"/>
  <c r="H26" i="11"/>
  <c r="G39" i="11"/>
  <c r="H39" i="11"/>
  <c r="G30" i="11"/>
  <c r="H20" i="11"/>
  <c r="G33" i="11"/>
  <c r="H23" i="11"/>
  <c r="G33" i="10"/>
  <c r="G28" i="11"/>
  <c r="G25" i="10"/>
  <c r="G37" i="11"/>
  <c r="H37" i="11"/>
  <c r="H30" i="11"/>
  <c r="G27" i="10"/>
  <c r="F23" i="11"/>
  <c r="G28" i="10"/>
  <c r="F17" i="10"/>
  <c r="F21" i="11"/>
  <c r="H24" i="10"/>
  <c r="G36" i="10"/>
  <c r="H36" i="10" s="1"/>
  <c r="G38" i="11"/>
  <c r="G29" i="10"/>
  <c r="G38" i="10"/>
  <c r="H17" i="10"/>
  <c r="G34" i="11"/>
  <c r="H34" i="11" s="1"/>
  <c r="G30" i="10"/>
  <c r="H30" i="10" s="1"/>
  <c r="G29" i="11"/>
  <c r="G27" i="11"/>
  <c r="H27" i="11" s="1"/>
  <c r="G31" i="10"/>
  <c r="H26" i="10"/>
  <c r="H35" i="11"/>
  <c r="G25" i="11"/>
  <c r="G37" i="10"/>
  <c r="H37" i="10" s="1"/>
  <c r="G34" i="10"/>
  <c r="H34" i="10" s="1"/>
  <c r="H35" i="10"/>
  <c r="G36" i="11"/>
  <c r="G32" i="10"/>
  <c r="H32" i="10" s="1"/>
  <c r="H36" i="11"/>
  <c r="G32" i="11"/>
  <c r="G7" i="12"/>
  <c r="H39" i="10"/>
  <c r="H38" i="10"/>
  <c r="B39" i="7" l="1"/>
  <c r="C20" i="7"/>
  <c r="D37" i="7"/>
  <c r="D33" i="7"/>
  <c r="C29" i="7"/>
  <c r="C15" i="7"/>
  <c r="D11" i="7"/>
  <c r="B6" i="7"/>
  <c r="D14" i="7"/>
  <c r="B26" i="7"/>
  <c r="B34" i="7"/>
  <c r="D13" i="7"/>
  <c r="B29" i="7"/>
  <c r="D20" i="7"/>
  <c r="D21" i="7"/>
  <c r="B15" i="7"/>
  <c r="C18" i="7"/>
  <c r="C10" i="7"/>
  <c r="D9" i="7"/>
  <c r="C27" i="7"/>
  <c r="B10" i="7"/>
  <c r="B27" i="7"/>
  <c r="B14" i="7"/>
  <c r="D6" i="7"/>
  <c r="B11" i="7"/>
  <c r="B20" i="7"/>
  <c r="D30" i="7"/>
  <c r="B31" i="7"/>
  <c r="D25" i="7"/>
  <c r="B23" i="7"/>
  <c r="C30" i="7"/>
  <c r="D32" i="7"/>
  <c r="D17" i="7"/>
  <c r="B32" i="7"/>
  <c r="D10" i="7"/>
  <c r="C13" i="7"/>
  <c r="B12" i="7"/>
  <c r="D22" i="7"/>
  <c r="D35" i="7"/>
  <c r="D18" i="7"/>
  <c r="C25" i="7"/>
  <c r="C7" i="7"/>
  <c r="C8" i="7"/>
  <c r="B28" i="7"/>
  <c r="D16" i="7"/>
  <c r="C24" i="7"/>
  <c r="B33" i="7"/>
  <c r="D31" i="7"/>
  <c r="D26" i="7"/>
  <c r="C32" i="7"/>
  <c r="C23" i="7"/>
  <c r="D36" i="7"/>
  <c r="D7" i="7"/>
  <c r="D8" i="7"/>
  <c r="B17" i="7"/>
  <c r="D27" i="7"/>
  <c r="B38" i="7"/>
  <c r="D38" i="7"/>
  <c r="D23" i="7"/>
  <c r="D15" i="7"/>
  <c r="C19" i="7"/>
  <c r="B35" i="7"/>
  <c r="C37" i="7"/>
  <c r="C35" i="7"/>
  <c r="C31" i="7"/>
  <c r="B13" i="7"/>
  <c r="B25" i="7"/>
  <c r="C36" i="7"/>
  <c r="D12" i="7"/>
  <c r="C34" i="7"/>
  <c r="B36" i="7"/>
  <c r="D34" i="7"/>
  <c r="C26" i="7"/>
  <c r="B8" i="7"/>
  <c r="C17" i="7"/>
  <c r="D19" i="7"/>
  <c r="C9" i="7"/>
  <c r="C6" i="7"/>
  <c r="C39" i="7"/>
  <c r="C33" i="7"/>
  <c r="C28" i="7"/>
  <c r="B9" i="7"/>
  <c r="C12" i="7"/>
  <c r="C11" i="7"/>
  <c r="B37" i="7"/>
  <c r="D29" i="7"/>
  <c r="B30" i="7"/>
  <c r="C14" i="7"/>
  <c r="D28" i="7"/>
  <c r="B7" i="7"/>
  <c r="C38" i="7"/>
  <c r="D39" i="7"/>
  <c r="B16" i="7"/>
  <c r="C16" i="7"/>
  <c r="H7" i="12"/>
  <c r="H33" i="11"/>
  <c r="H27" i="10"/>
  <c r="H28" i="11"/>
  <c r="H32" i="11"/>
  <c r="H31" i="11"/>
  <c r="H31" i="10"/>
  <c r="H38" i="11"/>
  <c r="H29" i="11"/>
  <c r="H25" i="11"/>
  <c r="H28" i="10"/>
  <c r="H29" i="10"/>
  <c r="H25" i="10"/>
  <c r="H33" i="10"/>
  <c r="F8" i="12" l="1"/>
  <c r="D6" i="2"/>
  <c r="G8" i="12"/>
  <c r="H8" i="12"/>
  <c r="I32" i="10"/>
  <c r="I36" i="12"/>
  <c r="I19" i="12"/>
  <c r="I35" i="12"/>
  <c r="I11" i="11"/>
  <c r="I16" i="12"/>
  <c r="I36" i="10"/>
  <c r="I16" i="10"/>
  <c r="I31" i="10"/>
  <c r="I34" i="11"/>
  <c r="I24" i="12"/>
  <c r="I13" i="12"/>
  <c r="I27" i="12"/>
  <c r="I33" i="10"/>
  <c r="I30" i="10"/>
  <c r="I8" i="12"/>
  <c r="I15" i="11"/>
  <c r="I20" i="11"/>
  <c r="I22" i="10"/>
  <c r="I13" i="11"/>
  <c r="I33" i="12"/>
  <c r="I31" i="11"/>
  <c r="I38" i="11"/>
  <c r="I13" i="10"/>
  <c r="I34" i="10"/>
  <c r="I25" i="10"/>
  <c r="I9" i="10"/>
  <c r="I17" i="10"/>
  <c r="I38" i="12"/>
  <c r="I27" i="11"/>
  <c r="I23" i="12"/>
  <c r="I18" i="10"/>
  <c r="I31" i="12"/>
  <c r="I16" i="11"/>
  <c r="I28" i="10"/>
  <c r="I38" i="10"/>
  <c r="I26" i="11"/>
  <c r="I39" i="11"/>
  <c r="I22" i="11"/>
  <c r="I21" i="11"/>
  <c r="I32" i="12"/>
  <c r="I10" i="12"/>
  <c r="I36" i="11"/>
  <c r="I14" i="12"/>
  <c r="I18" i="12"/>
  <c r="I29" i="12"/>
  <c r="I19" i="10"/>
  <c r="I29" i="11"/>
  <c r="I7" i="12"/>
  <c r="I17" i="12"/>
  <c r="I27" i="10"/>
  <c r="I6" i="12"/>
  <c r="I21" i="10"/>
  <c r="I29" i="10"/>
  <c r="I15" i="12"/>
  <c r="I35" i="11"/>
  <c r="I11" i="12"/>
  <c r="I30" i="11"/>
  <c r="I11" i="10"/>
  <c r="I8" i="10"/>
  <c r="I12" i="12"/>
  <c r="I24" i="11"/>
  <c r="I12" i="10"/>
  <c r="I20" i="12"/>
  <c r="I30" i="12"/>
  <c r="I9" i="12"/>
  <c r="I28" i="11"/>
  <c r="I26" i="10"/>
  <c r="I17" i="11"/>
  <c r="I32" i="11"/>
  <c r="I24" i="10"/>
  <c r="I37" i="11"/>
  <c r="I9" i="11"/>
  <c r="I23" i="11"/>
  <c r="I20" i="10"/>
  <c r="I28" i="12"/>
  <c r="I14" i="11"/>
  <c r="I25" i="12"/>
  <c r="I35" i="10"/>
  <c r="I12" i="11"/>
  <c r="I26" i="12"/>
  <c r="I37" i="10"/>
  <c r="I10" i="11"/>
  <c r="I23" i="10"/>
  <c r="I19" i="11"/>
  <c r="I37" i="12"/>
  <c r="I39" i="12"/>
  <c r="I25" i="11"/>
  <c r="I8" i="11"/>
  <c r="I39" i="10"/>
  <c r="I34" i="12"/>
  <c r="I14" i="10"/>
  <c r="I18" i="11"/>
  <c r="I21" i="12"/>
  <c r="I33" i="11"/>
  <c r="I15" i="10"/>
  <c r="I10" i="10"/>
  <c r="I22" i="12"/>
  <c r="W31" i="7" l="1"/>
  <c r="O34" i="7"/>
  <c r="W28" i="7"/>
  <c r="O31" i="7"/>
  <c r="O20" i="7"/>
  <c r="S32" i="7"/>
  <c r="W29" i="7"/>
  <c r="S12" i="7"/>
  <c r="S30" i="7"/>
  <c r="S15" i="7"/>
  <c r="S28" i="7"/>
  <c r="O6" i="7"/>
  <c r="S25" i="7"/>
  <c r="W21" i="7"/>
  <c r="W12" i="7"/>
  <c r="S34" i="7"/>
  <c r="O23" i="7"/>
  <c r="O33" i="7"/>
  <c r="W34" i="7"/>
  <c r="S13" i="7"/>
  <c r="W35" i="7"/>
  <c r="W22" i="7"/>
  <c r="S38" i="7"/>
  <c r="S10" i="7"/>
  <c r="W10" i="7"/>
  <c r="W13" i="7"/>
  <c r="W26" i="7"/>
  <c r="W36" i="7"/>
  <c r="W8" i="7"/>
  <c r="W25" i="7"/>
  <c r="W11" i="7"/>
  <c r="W16" i="7"/>
  <c r="W20" i="7"/>
  <c r="O30" i="7"/>
  <c r="S8" i="7"/>
  <c r="O9" i="7"/>
  <c r="W38" i="7"/>
  <c r="O29" i="7"/>
  <c r="S24" i="7"/>
  <c r="W18" i="7"/>
  <c r="O10" i="7"/>
  <c r="O26" i="7"/>
  <c r="O35" i="7"/>
  <c r="W15" i="7"/>
  <c r="S16" i="7"/>
  <c r="O14" i="7"/>
  <c r="S20" i="7"/>
  <c r="S39" i="7"/>
  <c r="O16" i="7"/>
  <c r="O36" i="7"/>
  <c r="W14" i="7"/>
  <c r="S18" i="7"/>
  <c r="W19" i="7"/>
  <c r="O27" i="7"/>
  <c r="O13" i="7"/>
  <c r="S19" i="7"/>
  <c r="S26" i="7"/>
  <c r="O32" i="7"/>
  <c r="S14" i="7"/>
  <c r="S36" i="7"/>
  <c r="S33" i="7"/>
  <c r="O28" i="7"/>
  <c r="O37" i="7"/>
  <c r="S37" i="7"/>
  <c r="O12" i="7"/>
  <c r="S31" i="7"/>
  <c r="W37" i="7"/>
  <c r="O11" i="7"/>
  <c r="S35" i="7"/>
  <c r="W32" i="7"/>
  <c r="S29" i="7"/>
  <c r="O25" i="7"/>
  <c r="S27" i="7"/>
  <c r="O8" i="7"/>
  <c r="O39" i="7"/>
  <c r="O7" i="7"/>
  <c r="O15" i="7"/>
  <c r="W9" i="7"/>
  <c r="W33" i="7"/>
  <c r="S9" i="7"/>
  <c r="W27" i="7"/>
  <c r="W17" i="7"/>
  <c r="S23" i="7"/>
  <c r="S17" i="7"/>
  <c r="W39" i="7"/>
  <c r="W30" i="7"/>
  <c r="O17" i="7"/>
  <c r="O38" i="7"/>
  <c r="S11" i="7"/>
  <c r="W23" i="7"/>
  <c r="F12" i="7"/>
  <c r="H27" i="7"/>
  <c r="H26" i="7"/>
  <c r="H11" i="7"/>
  <c r="F33" i="7"/>
  <c r="F16" i="7"/>
  <c r="H23" i="7"/>
  <c r="J14" i="7"/>
  <c r="J17" i="7"/>
  <c r="H8" i="7"/>
  <c r="F32" i="7"/>
  <c r="J15" i="7"/>
  <c r="F7" i="7"/>
  <c r="J20" i="7"/>
  <c r="F10" i="7"/>
  <c r="J28" i="7"/>
  <c r="F35" i="7"/>
  <c r="H36" i="7"/>
  <c r="H14" i="7"/>
  <c r="H18" i="7"/>
  <c r="F27" i="7"/>
  <c r="J37" i="7"/>
  <c r="J32" i="7"/>
  <c r="F20" i="7"/>
  <c r="F13" i="7"/>
  <c r="J23" i="7"/>
  <c r="J9" i="7"/>
  <c r="H28" i="7"/>
  <c r="F6" i="7"/>
  <c r="F36" i="7"/>
  <c r="J34" i="7"/>
  <c r="J38" i="7"/>
  <c r="J39" i="7"/>
  <c r="F9" i="7"/>
  <c r="F26" i="7"/>
  <c r="H31" i="7"/>
  <c r="H16" i="7"/>
  <c r="F34" i="7"/>
  <c r="J26" i="7"/>
  <c r="F31" i="7"/>
  <c r="H15" i="7"/>
  <c r="J31" i="7"/>
  <c r="J10" i="7"/>
  <c r="J13" i="7"/>
  <c r="H33" i="7"/>
  <c r="H29" i="7"/>
  <c r="H30" i="7"/>
  <c r="H37" i="7"/>
  <c r="F23" i="7"/>
  <c r="F8" i="7"/>
  <c r="H20" i="7"/>
  <c r="J16" i="7"/>
  <c r="H35" i="7"/>
  <c r="F30" i="7"/>
  <c r="F39" i="7"/>
  <c r="H13" i="7"/>
  <c r="J36" i="7"/>
  <c r="F11" i="7"/>
  <c r="H17" i="7"/>
  <c r="H25" i="7"/>
  <c r="J35" i="7"/>
  <c r="J8" i="7"/>
  <c r="J19" i="7"/>
  <c r="H32" i="7"/>
  <c r="J21" i="7"/>
  <c r="J22" i="7"/>
  <c r="J25" i="7"/>
  <c r="F29" i="7"/>
  <c r="F14" i="7"/>
  <c r="F28" i="7"/>
  <c r="J30" i="7"/>
  <c r="J29" i="7"/>
  <c r="J12" i="7"/>
  <c r="H38" i="7"/>
  <c r="J11" i="7"/>
  <c r="H24" i="7"/>
  <c r="F37" i="7"/>
  <c r="J33" i="7"/>
  <c r="F17" i="7"/>
  <c r="H12" i="7"/>
  <c r="H34" i="7"/>
  <c r="H10" i="7"/>
  <c r="J18" i="7"/>
  <c r="H39" i="7"/>
  <c r="H19" i="7"/>
  <c r="F25" i="7"/>
  <c r="H9" i="7"/>
  <c r="F38" i="7"/>
  <c r="X17" i="7" l="1"/>
  <c r="X27" i="7"/>
  <c r="T26" i="7"/>
  <c r="X20" i="7"/>
  <c r="T9" i="7"/>
  <c r="T37" i="7"/>
  <c r="T39" i="7"/>
  <c r="X16" i="7"/>
  <c r="T34" i="7"/>
  <c r="T12" i="7"/>
  <c r="P28" i="7"/>
  <c r="X23" i="7"/>
  <c r="P8" i="7"/>
  <c r="T31" i="7"/>
  <c r="P32" i="7"/>
  <c r="P36" i="7"/>
  <c r="P26" i="7"/>
  <c r="P30" i="7"/>
  <c r="X13" i="7"/>
  <c r="P33" i="7"/>
  <c r="T15" i="7"/>
  <c r="P34" i="7"/>
  <c r="T11" i="7"/>
  <c r="T27" i="7"/>
  <c r="P12" i="7"/>
  <c r="P16" i="7"/>
  <c r="P10" i="7"/>
  <c r="X10" i="7"/>
  <c r="P23" i="7"/>
  <c r="T30" i="7"/>
  <c r="X31" i="7"/>
  <c r="P38" i="7"/>
  <c r="P25" i="7"/>
  <c r="T19" i="7"/>
  <c r="X18" i="7"/>
  <c r="T10" i="7"/>
  <c r="P17" i="7"/>
  <c r="X33" i="7"/>
  <c r="T29" i="7"/>
  <c r="P37" i="7"/>
  <c r="P13" i="7"/>
  <c r="T20" i="7"/>
  <c r="T24" i="7"/>
  <c r="X11" i="7"/>
  <c r="T38" i="7"/>
  <c r="X12" i="7"/>
  <c r="X29" i="7"/>
  <c r="X30" i="7"/>
  <c r="X9" i="7"/>
  <c r="X32" i="7"/>
  <c r="P27" i="7"/>
  <c r="P14" i="7"/>
  <c r="P29" i="7"/>
  <c r="X25" i="7"/>
  <c r="X22" i="7"/>
  <c r="X21" i="7"/>
  <c r="T32" i="7"/>
  <c r="X39" i="7"/>
  <c r="P15" i="7"/>
  <c r="T35" i="7"/>
  <c r="T33" i="7"/>
  <c r="X19" i="7"/>
  <c r="T16" i="7"/>
  <c r="X38" i="7"/>
  <c r="X8" i="7"/>
  <c r="X35" i="7"/>
  <c r="T25" i="7"/>
  <c r="P20" i="7"/>
  <c r="T17" i="7"/>
  <c r="P7" i="7"/>
  <c r="P11" i="7"/>
  <c r="T36" i="7"/>
  <c r="T18" i="7"/>
  <c r="X15" i="7"/>
  <c r="P9" i="7"/>
  <c r="X36" i="7"/>
  <c r="T13" i="7"/>
  <c r="P6" i="7"/>
  <c r="P31" i="7"/>
  <c r="T23" i="7"/>
  <c r="P39" i="7"/>
  <c r="X37" i="7"/>
  <c r="T14" i="7"/>
  <c r="X14" i="7"/>
  <c r="P35" i="7"/>
  <c r="T8" i="7"/>
  <c r="X26" i="7"/>
  <c r="X34" i="7"/>
  <c r="T28" i="7"/>
  <c r="X28" i="7"/>
  <c r="G12" i="7"/>
  <c r="G30" i="7"/>
  <c r="M6" i="10"/>
  <c r="I25" i="7"/>
  <c r="K28" i="7"/>
  <c r="K27" i="7"/>
  <c r="M6" i="11"/>
  <c r="I34" i="7"/>
  <c r="K14" i="7"/>
  <c r="I28" i="7"/>
  <c r="I26" i="7"/>
  <c r="I6" i="11"/>
  <c r="G15" i="7"/>
  <c r="I12" i="7"/>
  <c r="K23" i="7"/>
  <c r="G33" i="7"/>
  <c r="K8" i="7"/>
  <c r="K39" i="7"/>
  <c r="I38" i="7"/>
  <c r="G16" i="7"/>
  <c r="I14" i="7"/>
  <c r="I7" i="11"/>
  <c r="K15" i="7"/>
  <c r="K18" i="7"/>
  <c r="K12" i="7"/>
  <c r="K35" i="7"/>
  <c r="G34" i="7"/>
  <c r="K17" i="7"/>
  <c r="I31" i="7"/>
  <c r="G39" i="7"/>
  <c r="I8" i="7"/>
  <c r="I32" i="7"/>
  <c r="K37" i="7"/>
  <c r="G32" i="7"/>
  <c r="G31" i="7"/>
  <c r="I18" i="7"/>
  <c r="I24" i="7"/>
  <c r="K9" i="7"/>
  <c r="G13" i="7"/>
  <c r="G6" i="7"/>
  <c r="I23" i="7"/>
  <c r="G23" i="7"/>
  <c r="K20" i="7"/>
  <c r="I27" i="7"/>
  <c r="G28" i="7"/>
  <c r="I19" i="7"/>
  <c r="G25" i="7"/>
  <c r="K25" i="7"/>
  <c r="G10" i="7"/>
  <c r="K32" i="7"/>
  <c r="I9" i="7"/>
  <c r="I20" i="7"/>
  <c r="K13" i="7"/>
  <c r="G27" i="7"/>
  <c r="G9" i="7"/>
  <c r="I10" i="7"/>
  <c r="K11" i="7"/>
  <c r="G14" i="7"/>
  <c r="I35" i="7"/>
  <c r="G20" i="7"/>
  <c r="K36" i="7"/>
  <c r="G8" i="7"/>
  <c r="I15" i="7"/>
  <c r="G17" i="7"/>
  <c r="G29" i="7"/>
  <c r="I33" i="7"/>
  <c r="I17" i="7"/>
  <c r="I13" i="7"/>
  <c r="G35" i="7"/>
  <c r="I37" i="7"/>
  <c r="I30" i="7"/>
  <c r="K33" i="7"/>
  <c r="K19" i="7"/>
  <c r="G7" i="7"/>
  <c r="I39" i="7"/>
  <c r="I11" i="7"/>
  <c r="K31" i="7"/>
  <c r="I29" i="7"/>
  <c r="K29" i="7"/>
  <c r="K22" i="7"/>
  <c r="I16" i="7"/>
  <c r="G11" i="7"/>
  <c r="K16" i="7"/>
  <c r="G37" i="7"/>
  <c r="K30" i="7"/>
  <c r="K21" i="7"/>
  <c r="K38" i="7"/>
  <c r="K26" i="7"/>
  <c r="K34" i="7"/>
  <c r="G38" i="7"/>
  <c r="I36" i="7"/>
  <c r="G36" i="7"/>
  <c r="I6" i="10"/>
  <c r="I7" i="10"/>
  <c r="W6" i="7" l="1"/>
  <c r="S6" i="7"/>
  <c r="S7" i="7"/>
  <c r="W7" i="7"/>
  <c r="H6" i="7"/>
  <c r="J6" i="7"/>
  <c r="H7" i="7"/>
  <c r="J7" i="7"/>
  <c r="X7" i="7" l="1"/>
  <c r="T6" i="7"/>
  <c r="T7" i="7"/>
  <c r="X6" i="7"/>
  <c r="K6" i="7"/>
  <c r="I7" i="7"/>
  <c r="I6" i="7"/>
  <c r="K7" i="7"/>
</calcChain>
</file>

<file path=xl/comments1.xml><?xml version="1.0" encoding="utf-8"?>
<comments xmlns="http://schemas.openxmlformats.org/spreadsheetml/2006/main">
  <authors>
    <author>ZANZI MADDALENA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<sst xmlns="http://schemas.openxmlformats.org/spreadsheetml/2006/main" count="518" uniqueCount="135">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</sst>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4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0" fillId="7" borderId="21" xfId="0" applyFont="1" applyFill="1" applyBorder="1"/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0.17499999999999999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>
        <v>0.17499999999999999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0" s="7"/>
      </tp>
      <tp>
        <v>0.17499999999999999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0" s="7"/>
      </tp>
      <tp>
        <v>0.17499999999999999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7"/>
      </tp>
      <tp>
        <v>6.4187724000000002E-2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7"/>
      </tp>
      <tp>
        <v>6.3403078000000002E-2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7"/>
      </tp>
      <tp>
        <v>6.4161835E-2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7"/>
      </tp>
      <tp>
        <v>6.4148722000000005E-2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7"/>
      </tp>
      <tp>
        <v>6.1643835000000001E-2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7"/>
      </tp>
      <tp>
        <v>6.3745540000000003E-2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" s="7"/>
      </tp>
      <tp>
        <v>6.1643836E-2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7"/>
      </tp>
      <tp>
        <v>6.4109588999999995E-2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7"/>
      </tp>
      <tp>
        <v>6.3534206999999995E-2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7"/>
      </tp>
      <tp>
        <v>5.6712328999999999E-2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7"/>
      </tp>
      <tp>
        <v>6.4109588999999995E-2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" s="7"/>
      </tp>
      <tp>
        <v>5.6712328999999999E-2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7"/>
      </tp>
      <tp>
        <v>0.20712328799999999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7"/>
      </tp>
      <tp>
        <v>5.9178082E-2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7"/>
      </tp>
      <tp>
        <v>0.157808219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7"/>
      </tp>
      <tp>
        <v>6.1643836E-2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7"/>
      </tp>
      <tp>
        <v>0.115890411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7"/>
      </tp>
      <tp>
        <v>6.1643836E-2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7"/>
      </tp>
      <tp>
        <v>8.1369863000000001E-2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7"/>
      </tp>
      <tp>
        <v>5.6712328999999999E-2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7"/>
      </tp>
      <tp>
        <v>0.32301369899999999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7"/>
      </tp>
      <tp>
        <v>0.26136986299999998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7"/>
      </tp>
      <tp>
        <v>0.13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7"/>
      </tp>
      <tp>
        <v>0.13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7"/>
      </tp>
      <tp>
        <v>0.13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7"/>
      </tp>
      <tp>
        <v>0.13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7"/>
      </tp>
      <tp>
        <v>0.13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7" s="7"/>
      </tp>
      <tp>
        <v>0.13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7"/>
      </tp>
      <tp>
        <v>0.13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7"/>
      </tp>
      <tp>
        <v>0.13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7"/>
      </tp>
      <tp>
        <v>0.13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7"/>
      </tp>
      <tp>
        <v>0.13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7"/>
      </tp>
      <tp>
        <v>0.13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7"/>
      </tp>
      <tp>
        <v>0.13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7"/>
      </tp>
      <tp>
        <v>0.17499999999999999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8" s="7"/>
      </tp>
      <tp>
        <v>0.17499999999999999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8" s="7"/>
      </tp>
    </main>
    <main first="pldatasource.rtgetrtdserver">
      <tp>
        <v>0.13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4" s="7"/>
      </tp>
    </main>
    <main first="pldatasource.rtgetrtdserver">
      <tp>
        <v>1.26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7"/>
      </tp>
      <tp>
        <v>1.0923287669999999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7"/>
      </tp>
      <tp>
        <v>1.358630137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7"/>
      </tp>
      <tp>
        <v>0.77424657500000005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7"/>
      </tp>
      <tp>
        <v>0.38958904100000002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7"/>
      </tp>
      <tp>
        <v>0.53506849300000003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7"/>
      </tp>
    </main>
    <main first="pldatasource.rtgetrtdserver">
      <tp>
        <v>6.4187724000000002E-2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7"/>
      </tp>
      <tp>
        <v>6.3403078000000002E-2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7"/>
      </tp>
      <tp>
        <v>6.4161835E-2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7"/>
      </tp>
      <tp>
        <v>6.4148722000000005E-2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7"/>
      </tp>
      <tp>
        <v>6.1643835000000001E-2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7"/>
      </tp>
      <tp>
        <v>6.3745540000000003E-2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7"/>
      </tp>
      <tp>
        <v>6.1643836E-2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7"/>
      </tp>
      <tp>
        <v>6.4109588999999995E-2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7"/>
      </tp>
      <tp>
        <v>6.3534206999999995E-2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7"/>
      </tp>
      <tp>
        <v>5.6712328999999999E-2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7"/>
      </tp>
      <tp>
        <v>6.4109588999999995E-2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7"/>
      </tp>
      <tp>
        <v>5.6712328999999999E-2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7"/>
      </tp>
      <tp>
        <v>0.20712328799999999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7"/>
      </tp>
      <tp>
        <v>5.9178082E-2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7"/>
      </tp>
      <tp>
        <v>0.157808219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7"/>
      </tp>
      <tp>
        <v>6.1643836E-2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7"/>
      </tp>
      <tp>
        <v>0.115890411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7"/>
      </tp>
      <tp>
        <v>6.1643836E-2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7"/>
      </tp>
      <tp>
        <v>8.1369863000000001E-2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7"/>
      </tp>
      <tp>
        <v>5.6712328999999999E-2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7"/>
      </tp>
      <tp>
        <v>0.32301369899999999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7"/>
      </tp>
      <tp>
        <v>0.26136986299999998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7"/>
      </tp>
    </main>
    <main first="pldatasource.rtgetrtdserver">
      <tp>
        <v>0.77424657500000005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7"/>
      </tp>
      <tp>
        <v>0.38958904100000002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7"/>
      </tp>
      <tp>
        <v>0.53506849300000003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7"/>
      </tp>
      <tp>
        <v>1.358630137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7"/>
      </tp>
      <tp>
        <v>1.26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7"/>
      </tp>
      <tp>
        <v>1.0923287669999999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7"/>
      </tp>
    </main>
    <main first="pldatasource.rtgetrtdserver">
      <tp>
        <v>0.13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4" s="7"/>
      </tp>
    </main>
    <main first="pldatasource.rtgetrtdserver">
      <tp>
        <v>0.16172139399999999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>
        <v>0.16189687699999999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>
        <v>0.16170447499999999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>
        <v>0.16164353000000001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>
        <v>0.16950000000000001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>
        <v>0.16293656400000001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>
        <v>0.16869999999999999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>
        <v>0.16226142099999999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>
        <v>0.16420000000000001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>
        <v>0.17399999999999999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7" s="7"/>
      </tp>
      <tp>
        <v>0.1749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>
        <v>0.17249999999999999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>
        <v>0.45871130100000002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7"/>
      </tp>
      <tp>
        <v>0.38382535099999998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7"/>
      </tp>
      <tp>
        <v>0.13926656100000001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7"/>
      </tp>
      <tp>
        <v>0.131836809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7"/>
      </tp>
      <tp>
        <v>0.20165722799999999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7"/>
      </tp>
      <tp>
        <v>0.164230031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7"/>
      </tp>
      <tp>
        <v>0.31393748399999999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7"/>
      </tp>
      <tp>
        <v>0.25154811999999999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7"/>
      </tp>
    </main>
    <main first="pldatasource.rtgetrtdserver">
      <tp>
        <v>1.5332407619999999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7"/>
      </tp>
      <tp>
        <v>1.4356636760000001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7"/>
      </tp>
      <tp>
        <v>1.260816556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7"/>
      </tp>
      <tp>
        <v>0.93836068299999997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7"/>
      </tp>
      <tp>
        <v>0.69767609900000005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5" s="7"/>
      </tp>
      <tp>
        <v>0.53613141399999997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7"/>
      </tp>
    </main>
    <main first="pldatasource.rtgetrtdserver">
      <tp>
        <v>0.13890307800000001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7"/>
      </tp>
      <tp>
        <v>0.138883172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7"/>
      </tp>
      <tp>
        <v>0.138904954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7"/>
      </tp>
      <tp>
        <v>0.13891179100000001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7"/>
      </tp>
      <tp>
        <v>0.1326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7"/>
      </tp>
      <tp>
        <v>0.138756303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7"/>
      </tp>
      <tp>
        <v>0.1363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7"/>
      </tp>
      <tp>
        <v>0.13883914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7"/>
      </tp>
      <tp>
        <v>0.1386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7"/>
      </tp>
      <tp>
        <v>0.55000000000000004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7"/>
      </tp>
      <tp>
        <v>0.46750000000000003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7"/>
      </tp>
      <tp>
        <v>0.1925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7"/>
      </tp>
      <tp>
        <v>0.18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7"/>
      </tp>
      <tp>
        <v>0.26250000000000001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7"/>
      </tp>
      <tp>
        <v>0.22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7"/>
      </tp>
      <tp>
        <v>0.39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7"/>
      </tp>
      <tp>
        <v>0.32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7"/>
      </tp>
    </main>
    <main first="pldatasource.rtgetrtdserver">
      <tp>
        <v>1.6475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9" s="7"/>
      </tp>
      <tp>
        <v>1.5475000000000001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7"/>
      </tp>
      <tp>
        <v>1.3725000000000001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7"/>
      </tp>
      <tp>
        <v>1.05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7"/>
      </tp>
      <tp>
        <v>0.8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7"/>
      </tp>
      <tp>
        <v>0.63249999999999995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7"/>
      </tp>
    </main>
    <main first="pldatasource.rtgetrtdserver">
      <tp>
        <v>0.17749999999999999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>
        <v>0.46750000000000003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>
        <v>0.55000000000000004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>
        <v>0.18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>
        <v>0.1925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>
        <v>0.32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>
        <v>0.39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  <tp>
        <v>0.22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>
        <v>0.26250000000000001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</main>
    <main first="pldatasource.rtgetrtdserver">
      <tp>
        <v>0.132265305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7"/>
      </tp>
    </main>
    <main first="pldatasource.rtgetrtdserver">
      <tp>
        <v>0.38382535099999998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7"/>
      </tp>
      <tp>
        <v>0.45871130100000002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7"/>
      </tp>
      <tp>
        <v>0.131836809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7"/>
      </tp>
      <tp>
        <v>0.13926656100000001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7"/>
      </tp>
      <tp>
        <v>0.25154811999999999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7"/>
      </tp>
      <tp>
        <v>0.31393748399999999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7"/>
      </tp>
      <tp>
        <v>0.164230031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7"/>
      </tp>
      <tp>
        <v>0.20165722799999999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7"/>
      </tp>
      <tp>
        <v>0.17749999999999999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7"/>
      </tp>
      <tp>
        <v>0.132265305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7"/>
      </tp>
      <tp>
        <v>1.5332407619999999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7"/>
      </tp>
      <tp>
        <v>1.4356636760000001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7"/>
      </tp>
      <tp>
        <v>1.260816556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7"/>
      </tp>
      <tp>
        <v>0.93836068299999997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7"/>
      </tp>
      <tp>
        <v>0.53613141399999997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7"/>
      </tp>
      <tp>
        <v>0.69767609900000005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7"/>
      </tp>
      <tp>
        <v>0.16172139399999999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7"/>
      </tp>
      <tp>
        <v>0.16189687699999999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7"/>
      </tp>
      <tp>
        <v>0.16170447499999999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7"/>
      </tp>
      <tp>
        <v>0.16164353000000001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7"/>
      </tp>
      <tp>
        <v>0.16950000000000001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7"/>
      </tp>
      <tp>
        <v>0.16293656400000001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7"/>
      </tp>
      <tp>
        <v>0.16869999999999999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7"/>
      </tp>
      <tp>
        <v>0.16226142099999999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7"/>
      </tp>
      <tp>
        <v>0.16420000000000001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7"/>
      </tp>
      <tp>
        <v>0.17399999999999999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7" s="7"/>
      </tp>
      <tp>
        <v>0.1749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7"/>
      </tp>
      <tp>
        <v>0.17249999999999999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7"/>
      </tp>
      <tp>
        <v>1.6475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9" s="7"/>
      </tp>
      <tp>
        <v>1.5475000000000001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>
        <v>1.3725000000000001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>
        <v>1.05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  <tp>
        <v>0.63249999999999995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  <tp>
        <v>0.8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>
        <v>0.13890307800000001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" s="7"/>
      </tp>
      <tp>
        <v>0.138883172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7"/>
      </tp>
      <tp>
        <v>0.138904954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" s="7"/>
      </tp>
      <tp>
        <v>0.13891179100000001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" s="7"/>
      </tp>
      <tp>
        <v>0.1326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7"/>
      </tp>
      <tp>
        <v>0.138756303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7"/>
      </tp>
      <tp>
        <v>0.1363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7"/>
      </tp>
      <tp>
        <v>0.13883914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7"/>
      </tp>
      <tp>
        <v>0.1386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7"/>
      </tp>
      <tp>
        <v>5.6712328999999999E-2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7"/>
      </tp>
      <tp>
        <v>5.6712328999999999E-2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7"/>
      </tp>
      <tp>
        <v>0.17499999999999999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>
        <v>0.17499999999999999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3" s="7"/>
      </tp>
      <tp>
        <v>0.17499999999999999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1" s="7"/>
      </tp>
      <tp>
        <v>0.17499999999999999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1" s="7"/>
      </tp>
      <tp>
        <v>0.17499999999999999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3" s="7"/>
      </tp>
      <tp>
        <v>0.17499999999999999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7"/>
      </tp>
      <tp>
        <v>0.13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3" s="7"/>
      </tp>
      <tp>
        <v>0.13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V4</v>
          </cell>
        </row>
      </sheetData>
      <sheetData sheetId="10">
        <row r="7">
          <cell r="D7" t="str">
            <v>V4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6" customWidth="1"/>
    <col min="3" max="3" width="21.42578125" style="126" bestFit="1" customWidth="1"/>
    <col min="4" max="4" width="28.5703125" style="126" bestFit="1" customWidth="1"/>
    <col min="5" max="5" width="2.7109375" style="126" customWidth="1"/>
    <col min="6" max="6" width="3.42578125" style="126" customWidth="1"/>
    <col min="7" max="16384" width="9.140625" style="126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4"/>
      <c r="B2" s="139" t="s">
        <v>4</v>
      </c>
      <c r="C2" s="140"/>
      <c r="D2" s="140"/>
      <c r="E2" s="125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1:26" s="13" customFormat="1" ht="11.25" x14ac:dyDescent="0.2">
      <c r="A3" s="2"/>
      <c r="B3" s="127"/>
      <c r="C3" s="128"/>
      <c r="D3" s="128"/>
      <c r="E3" s="12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7"/>
      <c r="C4" s="142" t="s">
        <v>5</v>
      </c>
      <c r="D4" s="130">
        <v>41886.427974537037</v>
      </c>
      <c r="E4" s="12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7"/>
      <c r="C5" s="142" t="s">
        <v>13</v>
      </c>
      <c r="D5" s="130">
        <f>_xll.qlSettingsEvaluationDate(Trigger)</f>
        <v>41886</v>
      </c>
      <c r="E5" s="12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7"/>
      <c r="C6" s="143" t="s">
        <v>114</v>
      </c>
      <c r="D6" s="131">
        <f>[1]!TriggerCounter</f>
        <v>2</v>
      </c>
      <c r="E6" s="12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2"/>
      <c r="C7" s="133"/>
      <c r="D7" s="133"/>
      <c r="E7" s="13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spans="1:26" ht="16.5" x14ac:dyDescent="0.3">
      <c r="A9" s="124"/>
      <c r="B9" s="139" t="s">
        <v>3</v>
      </c>
      <c r="C9" s="140"/>
      <c r="D9" s="140"/>
      <c r="E9" s="141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</row>
    <row r="10" spans="1:26" s="13" customFormat="1" ht="11.25" x14ac:dyDescent="0.2">
      <c r="A10" s="2"/>
      <c r="B10" s="127"/>
      <c r="C10" s="128"/>
      <c r="D10" s="128"/>
      <c r="E10" s="12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7"/>
      <c r="C11" s="142" t="s">
        <v>6</v>
      </c>
      <c r="D11" s="135" t="s">
        <v>14</v>
      </c>
      <c r="E11" s="12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7"/>
      <c r="C12" s="142" t="s">
        <v>12</v>
      </c>
      <c r="D12" s="136" t="str">
        <f>PROPER(Currency)&amp;IF(UPPER(Currency)="EUR","","L")&amp;"ibor"</f>
        <v>JpyLibor</v>
      </c>
      <c r="E12" s="12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7"/>
      <c r="C13" s="142" t="s">
        <v>17</v>
      </c>
      <c r="D13" s="136" t="s">
        <v>18</v>
      </c>
      <c r="E13" s="12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7"/>
      <c r="C14" s="142" t="s">
        <v>10</v>
      </c>
      <c r="D14" s="137">
        <f>_xll.qlInterestRateIndexFixingDays(IborIndexFamily&amp;D13)</f>
        <v>2</v>
      </c>
      <c r="E14" s="12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7"/>
      <c r="C15" s="142" t="s">
        <v>129</v>
      </c>
      <c r="D15" s="136" t="s">
        <v>16</v>
      </c>
      <c r="E15" s="12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7"/>
      <c r="C16" s="142" t="s">
        <v>130</v>
      </c>
      <c r="D16" s="136" t="s">
        <v>15</v>
      </c>
      <c r="E16" s="12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7"/>
      <c r="C17" s="142" t="s">
        <v>128</v>
      </c>
      <c r="D17" s="136" t="b">
        <f>_xll.qlCalendarIsHoliday(LocalCalendar,_xll.qlCalendarAdvance(LiborCalendar,EvaluationDate,SettlementDays&amp;"D","f",FALSE,Trigger))</f>
        <v>0</v>
      </c>
      <c r="E17" s="12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7"/>
      <c r="C18" s="142" t="s">
        <v>7</v>
      </c>
      <c r="D18" s="136" t="str">
        <f>IF(D17,LocalCalendar,LiborCalendar)</f>
        <v>UnitedKingdom::Exchange</v>
      </c>
      <c r="E18" s="12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7"/>
      <c r="C19" s="143" t="s">
        <v>11</v>
      </c>
      <c r="D19" s="138">
        <f>_xll.qlCalendarAdvance(Calendar,EvaluationDate,SettlementDays&amp;"d","following",FALSE)</f>
        <v>41890</v>
      </c>
      <c r="E19" s="12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7"/>
      <c r="C20" s="143" t="s">
        <v>88</v>
      </c>
      <c r="D20" s="138" t="s">
        <v>89</v>
      </c>
      <c r="E20" s="12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32"/>
      <c r="C21" s="133"/>
      <c r="D21" s="133"/>
      <c r="E21" s="13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 spans="1:26" x14ac:dyDescent="0.25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 spans="1:26" x14ac:dyDescent="0.25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 spans="1:26" x14ac:dyDescent="0.2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 spans="1:26" x14ac:dyDescent="0.25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spans="1:26" x14ac:dyDescent="0.25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 spans="1:26" x14ac:dyDescent="0.25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x14ac:dyDescent="0.25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 spans="1:26" x14ac:dyDescent="0.25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 spans="1:26" x14ac:dyDescent="0.25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</row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34" spans="1:26" x14ac:dyDescent="0.2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spans="1:26" x14ac:dyDescent="0.2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</row>
    <row r="36" spans="1:26" x14ac:dyDescent="0.2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</row>
    <row r="37" spans="1:26" x14ac:dyDescent="0.25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 x14ac:dyDescent="0.2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 x14ac:dyDescent="0.25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 x14ac:dyDescent="0.25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 x14ac:dyDescent="0.25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 spans="1:26" x14ac:dyDescent="0.25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 spans="1:26" x14ac:dyDescent="0.2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 spans="1:26" x14ac:dyDescent="0.25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</row>
    <row r="45" spans="1:26" x14ac:dyDescent="0.2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</row>
    <row r="46" spans="1:26" x14ac:dyDescent="0.25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x14ac:dyDescent="0.25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x14ac:dyDescent="0.25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x14ac:dyDescent="0.25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x14ac:dyDescent="0.2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</row>
    <row r="51" spans="1:26" x14ac:dyDescent="0.2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</row>
    <row r="52" spans="1:26" x14ac:dyDescent="0.2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</row>
    <row r="53" spans="1:26" x14ac:dyDescent="0.2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</row>
    <row r="54" spans="1:26" x14ac:dyDescent="0.25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</row>
    <row r="55" spans="1:26" x14ac:dyDescent="0.2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 spans="1:26" x14ac:dyDescent="0.25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 spans="1:26" x14ac:dyDescent="0.25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</row>
    <row r="58" spans="1:26" x14ac:dyDescent="0.25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</row>
    <row r="59" spans="1:26" x14ac:dyDescent="0.25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</row>
    <row r="60" spans="1:26" x14ac:dyDescent="0.25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</row>
    <row r="61" spans="1:26" x14ac:dyDescent="0.25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</row>
    <row r="62" spans="1:26" x14ac:dyDescent="0.25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</row>
    <row r="63" spans="1:26" x14ac:dyDescent="0.25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</row>
    <row r="64" spans="1:26" x14ac:dyDescent="0.25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</row>
    <row r="65" spans="1:26" x14ac:dyDescent="0.2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</row>
    <row r="66" spans="1:26" x14ac:dyDescent="0.25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</row>
    <row r="67" spans="1:26" x14ac:dyDescent="0.25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</row>
    <row r="68" spans="1:26" x14ac:dyDescent="0.25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</row>
    <row r="69" spans="1:26" x14ac:dyDescent="0.25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 spans="1:26" x14ac:dyDescent="0.25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</row>
    <row r="71" spans="1:26" x14ac:dyDescent="0.25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</row>
    <row r="72" spans="1:26" x14ac:dyDescent="0.25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</row>
    <row r="73" spans="1:26" x14ac:dyDescent="0.25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</row>
    <row r="74" spans="1:26" x14ac:dyDescent="0.25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</row>
    <row r="75" spans="1:26" x14ac:dyDescent="0.25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 spans="1:26" x14ac:dyDescent="0.25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 spans="1:26" x14ac:dyDescent="0.2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</row>
    <row r="78" spans="1:26" x14ac:dyDescent="0.2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</row>
    <row r="79" spans="1:26" x14ac:dyDescent="0.2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</row>
    <row r="80" spans="1:26" x14ac:dyDescent="0.2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 spans="1:26" x14ac:dyDescent="0.2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 spans="1:26" x14ac:dyDescent="0.2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 spans="1:26" x14ac:dyDescent="0.25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  <row r="84" spans="1:26" x14ac:dyDescent="0.25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 spans="1:26" x14ac:dyDescent="0.25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</row>
    <row r="86" spans="1:26" x14ac:dyDescent="0.25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</row>
    <row r="87" spans="1:26" x14ac:dyDescent="0.25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 spans="1:26" x14ac:dyDescent="0.25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</row>
    <row r="89" spans="1:26" x14ac:dyDescent="0.25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</row>
    <row r="90" spans="1:26" x14ac:dyDescent="0.25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</row>
    <row r="91" spans="1:26" x14ac:dyDescent="0.25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 spans="1:26" x14ac:dyDescent="0.25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spans="1:26" x14ac:dyDescent="0.25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 spans="1:26" x14ac:dyDescent="0.25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</row>
    <row r="95" spans="1:26" x14ac:dyDescent="0.25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</row>
    <row r="96" spans="1:26" x14ac:dyDescent="0.25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</row>
    <row r="97" spans="1:26" x14ac:dyDescent="0.25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</row>
    <row r="98" spans="1:26" x14ac:dyDescent="0.25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</row>
    <row r="99" spans="1:26" x14ac:dyDescent="0.25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</row>
    <row r="100" spans="1:26" x14ac:dyDescent="0.25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</row>
  </sheetData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 D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showGridLines="0" tabSelected="1" workbookViewId="0">
      <selection activeCell="C2" sqref="C2"/>
    </sheetView>
  </sheetViews>
  <sheetFormatPr defaultColWidth="3" defaultRowHeight="11.25" outlineLevelCol="1" x14ac:dyDescent="0.2"/>
  <cols>
    <col min="1" max="1" width="6" style="1" bestFit="1" customWidth="1"/>
    <col min="2" max="4" width="15.7109375" style="1" customWidth="1"/>
    <col min="5" max="5" width="2.7109375" style="13" customWidth="1"/>
    <col min="6" max="10" width="10" style="1" bestFit="1" customWidth="1"/>
    <col min="11" max="11" width="10" style="5" bestFit="1" customWidth="1"/>
    <col min="12" max="12" width="2.7109375" style="5" customWidth="1"/>
    <col min="13" max="13" width="6" style="1" hidden="1" customWidth="1" outlineLevel="1"/>
    <col min="14" max="14" width="12" style="1" hidden="1" customWidth="1" outlineLevel="1"/>
    <col min="15" max="17" width="7" style="1" hidden="1" customWidth="1" outlineLevel="1"/>
    <col min="18" max="18" width="13.140625" style="5" hidden="1" customWidth="1" outlineLevel="1"/>
    <col min="19" max="19" width="7" style="5" hidden="1" customWidth="1" outlineLevel="1"/>
    <col min="20" max="20" width="7" style="1" hidden="1" customWidth="1" outlineLevel="1"/>
    <col min="21" max="21" width="6" style="1" hidden="1" customWidth="1" outlineLevel="1"/>
    <col min="22" max="22" width="12" style="1" hidden="1" customWidth="1" outlineLevel="1"/>
    <col min="23" max="23" width="7" style="1" hidden="1" customWidth="1" outlineLevel="1"/>
    <col min="24" max="24" width="7" style="5" hidden="1" customWidth="1" outlineLevel="1"/>
    <col min="25" max="25" width="2.7109375" style="5" customWidth="1" collapsed="1"/>
    <col min="26" max="31" width="14.42578125" style="1" customWidth="1"/>
    <col min="32" max="16384" width="3" style="1"/>
  </cols>
  <sheetData>
    <row r="1" spans="1:5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3"/>
      <c r="S1" s="3"/>
      <c r="T1" s="2"/>
      <c r="U1" s="2"/>
      <c r="V1" s="2"/>
      <c r="W1" s="2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123"/>
      <c r="B2" s="29" t="s">
        <v>9</v>
      </c>
      <c r="C2" s="68"/>
      <c r="D2" s="2"/>
      <c r="E2" s="2"/>
      <c r="F2" s="28" t="s">
        <v>2</v>
      </c>
      <c r="G2" s="28">
        <v>0</v>
      </c>
      <c r="H2" s="74" t="s">
        <v>0</v>
      </c>
      <c r="I2" s="27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122"/>
      <c r="B3" s="73"/>
      <c r="C3" s="6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1.25" customHeight="1" x14ac:dyDescent="0.2">
      <c r="A4" s="55" t="s">
        <v>8</v>
      </c>
      <c r="B4" s="56"/>
      <c r="C4" s="56"/>
      <c r="D4" s="57"/>
      <c r="E4" s="2" t="s">
        <v>117</v>
      </c>
      <c r="F4" s="55" t="s">
        <v>19</v>
      </c>
      <c r="G4" s="57"/>
      <c r="H4" s="55" t="s">
        <v>27</v>
      </c>
      <c r="I4" s="57"/>
      <c r="J4" s="55" t="s">
        <v>18</v>
      </c>
      <c r="K4" s="57"/>
      <c r="L4" s="66" t="s">
        <v>117</v>
      </c>
      <c r="M4" s="14" t="s">
        <v>19</v>
      </c>
      <c r="N4" s="14"/>
      <c r="O4" s="14"/>
      <c r="P4" s="15"/>
      <c r="Q4" s="14" t="s">
        <v>27</v>
      </c>
      <c r="R4" s="14"/>
      <c r="S4" s="14"/>
      <c r="T4" s="15"/>
      <c r="U4" s="14" t="s">
        <v>18</v>
      </c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60" customFormat="1" ht="11.25" customHeight="1" x14ac:dyDescent="0.2">
      <c r="A5" s="26" t="s">
        <v>96</v>
      </c>
      <c r="B5" s="26" t="s">
        <v>19</v>
      </c>
      <c r="C5" s="26" t="s">
        <v>27</v>
      </c>
      <c r="D5" s="26" t="s">
        <v>18</v>
      </c>
      <c r="E5" s="2" t="s">
        <v>117</v>
      </c>
      <c r="F5" s="26" t="s">
        <v>118</v>
      </c>
      <c r="G5" s="26" t="s">
        <v>119</v>
      </c>
      <c r="H5" s="26" t="s">
        <v>118</v>
      </c>
      <c r="I5" s="26" t="s">
        <v>119</v>
      </c>
      <c r="J5" s="26" t="s">
        <v>118</v>
      </c>
      <c r="K5" s="26" t="s">
        <v>119</v>
      </c>
      <c r="L5" s="67" t="s">
        <v>117</v>
      </c>
      <c r="M5" s="31" t="s">
        <v>96</v>
      </c>
      <c r="N5" s="59" t="s">
        <v>97</v>
      </c>
      <c r="O5" s="31" t="s">
        <v>0</v>
      </c>
      <c r="P5" s="31" t="s">
        <v>1</v>
      </c>
      <c r="Q5" s="31" t="s">
        <v>96</v>
      </c>
      <c r="R5" s="59" t="s">
        <v>97</v>
      </c>
      <c r="S5" s="31" t="s">
        <v>0</v>
      </c>
      <c r="T5" s="31" t="s">
        <v>1</v>
      </c>
      <c r="U5" s="31" t="s">
        <v>96</v>
      </c>
      <c r="V5" s="59" t="s">
        <v>97</v>
      </c>
      <c r="W5" s="31" t="s">
        <v>0</v>
      </c>
      <c r="X5" s="31" t="s">
        <v>1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</row>
    <row r="6" spans="1:51" ht="11.25" customHeight="1" x14ac:dyDescent="0.2">
      <c r="A6" s="23" t="s">
        <v>19</v>
      </c>
      <c r="B6" s="23" t="str">
        <f>IF(Contribute="abcd",IF($G$2&lt;&gt;-1,_xll.RtContribute(SourceAlias,N6,Fields,O6:P6,"SCOPE:SERVER"),_xll.RtContribute(SourceAlias,"DDS_INSERT_S",$G$2:$I$2,O6:P6,"SCOPE:SERVER FTC:ALL")),"stopped")</f>
        <v>stopped</v>
      </c>
      <c r="C6" s="23" t="str">
        <f>IF(Contribute="abcd",IF($G$2&lt;&gt;-1,_xll.RtContribute(SourceAlias,R6,Fields,S6:T6,"SCOPE:SERVER"),_xll.RtContribute(SourceAlias,"DDS_INSERT_S",$G$2:$I$2,R6:T6,"SCOPE:SERVER FTC:ALL")),"stopped")</f>
        <v>stopped</v>
      </c>
      <c r="D6" s="23" t="str">
        <f>IF(Contribute="abcd",IF($G$2&lt;&gt;-1,_xll.RtContribute(SourceAlias,V6,Fields,W6:X6,"SCOPE:SERVER"),_xll.RtContribute(SourceAlias,"DDS_INSERT_S",$G$2:$I$2,V6:X6,"SCOPE:SERVER FTC:ALL")),"stopped")</f>
        <v>stopped</v>
      </c>
      <c r="E6" s="2" t="s">
        <v>117</v>
      </c>
      <c r="F6" s="17">
        <f>ABS(_xll.RtGet(SourceAlias,$N6,BID)-O6)</f>
        <v>4.2853179338386838E-11</v>
      </c>
      <c r="G6" s="17">
        <f>ABS(_xll.RtGet(SourceAlias,$N6,ASK)-P6)</f>
        <v>4.2853179338386838E-11</v>
      </c>
      <c r="H6" s="17">
        <f>ABS(_xll.RtGet(SourceAlias,$R6,BID)-S6)</f>
        <v>1.3062773085437129E-10</v>
      </c>
      <c r="I6" s="17">
        <f>ABS(_xll.RtGet(SourceAlias,$R6,ASK)-T6)</f>
        <v>1.3062773085437129E-10</v>
      </c>
      <c r="J6" s="17">
        <f>ABS(_xll.RtGet(SourceAlias,$V6,BID)-W6)</f>
        <v>3.2521946247143774E-10</v>
      </c>
      <c r="K6" s="17">
        <f>ABS(_xll.RtGet(SourceAlias,$V6,ASK)-X6)</f>
        <v>3.2521946247143774E-10</v>
      </c>
      <c r="L6" s="66" t="s">
        <v>117</v>
      </c>
      <c r="M6" s="23" t="s">
        <v>58</v>
      </c>
      <c r="N6" s="16" t="str">
        <f t="shared" ref="N6:N17" si="0">Currency&amp;"ON"&amp;M6&amp;"="</f>
        <v>JPYONOND=</v>
      </c>
      <c r="O6" s="17">
        <f>'ON Pricing'!I6*100</f>
        <v>6.4148721957146826E-2</v>
      </c>
      <c r="P6" s="17">
        <f>O6</f>
        <v>6.4148721957146826E-2</v>
      </c>
      <c r="Q6" s="23" t="s">
        <v>58</v>
      </c>
      <c r="R6" s="16" t="str">
        <f t="shared" ref="R6:R20" si="1">Currency&amp;"3M"&amp;Q6&amp;"="</f>
        <v>JPY3MOND=</v>
      </c>
      <c r="S6" s="17">
        <f>'3M Pricing'!I6*100</f>
        <v>0.13891179113062774</v>
      </c>
      <c r="T6" s="17">
        <f>S6</f>
        <v>0.13891179113062774</v>
      </c>
      <c r="U6" s="23" t="s">
        <v>58</v>
      </c>
      <c r="V6" s="16" t="str">
        <f t="shared" ref="V6:V23" si="2">Currency&amp;"6M"&amp;U6&amp;"="</f>
        <v>JPY6MOND=</v>
      </c>
      <c r="W6" s="17">
        <f>'6M Pricing'!I6*100</f>
        <v>0.16164352967478055</v>
      </c>
      <c r="X6" s="17">
        <f>W6</f>
        <v>0.16164352967478055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4" t="s">
        <v>20</v>
      </c>
      <c r="B7" s="24" t="str">
        <f>IF(Contribute="abcd",IF($G$2&lt;&gt;-1,_xll.RtContribute(SourceAlias,N7,Fields,O7:P7,"SCOPE:SERVER"),_xll.RtContribute(SourceAlias,"DDS_INSERT_S",$G$2:$I$2,O7:P7,"SCOPE:SERVER FTC:ALL")),"stopped")</f>
        <v>stopped</v>
      </c>
      <c r="C7" s="24" t="str">
        <f>IF(Contribute="abcd",IF($G$2&lt;&gt;-1,_xll.RtContribute(SourceAlias,R7,Fields,S7:T7,"SCOPE:SERVER"),_xll.RtContribute(SourceAlias,"DDS_INSERT_S",$G$2:$I$2,R7:T7,"SCOPE:SERVER FTC:ALL")),"stopped")</f>
        <v>stopped</v>
      </c>
      <c r="D7" s="24" t="str">
        <f>IF(Contribute="abcd",IF($G$2&lt;&gt;-1,_xll.RtContribute(SourceAlias,V7,Fields,W7:X7,"SCOPE:SERVER"),_xll.RtContribute(SourceAlias,"DDS_INSERT_S",$G$2:$I$2,V7:X7,"SCOPE:SERVER FTC:ALL")),"stopped")</f>
        <v>stopped</v>
      </c>
      <c r="E7" s="2" t="s">
        <v>117</v>
      </c>
      <c r="F7" s="19">
        <f>ABS(_xll.RtGet(SourceAlias,$N7,BID)-O7)</f>
        <v>5.0202644819030695E-10</v>
      </c>
      <c r="G7" s="19">
        <f>ABS(_xll.RtGet(SourceAlias,$N7,ASK)-P7)</f>
        <v>5.0202644819030695E-10</v>
      </c>
      <c r="H7" s="19">
        <f>ABS(_xll.RtGet(SourceAlias,$R7,BID)-S7)</f>
        <v>2.5174076712097815E-10</v>
      </c>
      <c r="I7" s="19">
        <f>ABS(_xll.RtGet(SourceAlias,$R7,ASK)-T7)</f>
        <v>2.5174076712097815E-10</v>
      </c>
      <c r="J7" s="19">
        <f>ABS(_xll.RtGet(SourceAlias,$V7,BID)-W7)</f>
        <v>2.5914043133568043E-10</v>
      </c>
      <c r="K7" s="19">
        <f>ABS(_xll.RtGet(SourceAlias,$V7,ASK)-X7)</f>
        <v>2.5914043133568043E-10</v>
      </c>
      <c r="L7" s="66" t="s">
        <v>117</v>
      </c>
      <c r="M7" s="24" t="s">
        <v>59</v>
      </c>
      <c r="N7" s="18" t="str">
        <f t="shared" si="0"/>
        <v>JPYONTND=</v>
      </c>
      <c r="O7" s="19">
        <f>'ON Pricing'!I7*100</f>
        <v>6.4161835502026449E-2</v>
      </c>
      <c r="P7" s="19">
        <f t="shared" ref="P7:P39" si="3">O7</f>
        <v>6.4161835502026449E-2</v>
      </c>
      <c r="Q7" s="24" t="s">
        <v>59</v>
      </c>
      <c r="R7" s="18" t="str">
        <f t="shared" si="1"/>
        <v>JPY3MTND=</v>
      </c>
      <c r="S7" s="19">
        <f>'3M Pricing'!I7*100</f>
        <v>0.13890495374825923</v>
      </c>
      <c r="T7" s="19">
        <f t="shared" ref="T7:T39" si="4">S7</f>
        <v>0.13890495374825923</v>
      </c>
      <c r="U7" s="24" t="s">
        <v>59</v>
      </c>
      <c r="V7" s="18" t="str">
        <f t="shared" si="2"/>
        <v>JPY6MTND=</v>
      </c>
      <c r="W7" s="19">
        <f>'6M Pricing'!I7*100</f>
        <v>0.16170447474085956</v>
      </c>
      <c r="X7" s="19">
        <f t="shared" ref="X7:X39" si="5">W7</f>
        <v>0.16170447474085956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">
        <v>21</v>
      </c>
      <c r="B8" s="25" t="str">
        <f>IF(Contribute="abcd",IF($G$2&lt;&gt;-1,_xll.RtContribute(SourceAlias,N8,Fields,O8:P8,"SCOPE:SERVER"),_xll.RtContribute(SourceAlias,"DDS_INSERT_S",$G$2:$I$2,O8:P8,"SCOPE:SERVER FTC:ALL")),"stopped")</f>
        <v>stopped</v>
      </c>
      <c r="C8" s="25" t="str">
        <f>IF(Contribute="abcd",IF($G$2&lt;&gt;-1,_xll.RtContribute(SourceAlias,R8,Fields,S8:T8,"SCOPE:SERVER"),_xll.RtContribute(SourceAlias,"DDS_INSERT_S",$G$2:$I$2,R8:T8,"SCOPE:SERVER FTC:ALL")),"stopped")</f>
        <v>stopped</v>
      </c>
      <c r="D8" s="25" t="str">
        <f>IF(Contribute="abcd",IF($G$2&lt;&gt;-1,_xll.RtContribute(SourceAlias,V8,Fields,W8:X8,"SCOPE:SERVER"),_xll.RtContribute(SourceAlias,"DDS_INSERT_S",$G$2:$I$2,V8:X8,"SCOPE:SERVER FTC:ALL")),"stopped")</f>
        <v>stopped</v>
      </c>
      <c r="E8" s="2" t="s">
        <v>117</v>
      </c>
      <c r="F8" s="21">
        <f>ABS(_xll.RtGet(SourceAlias,$N8,BID)-O8)</f>
        <v>2.3166796259133093E-10</v>
      </c>
      <c r="G8" s="21">
        <f>ABS(_xll.RtGet(SourceAlias,$N8,ASK)-P8)</f>
        <v>2.3166796259133093E-10</v>
      </c>
      <c r="H8" s="21">
        <f>ABS(_xll.RtGet(SourceAlias,$R8,BID)-S8)</f>
        <v>1.0423106822088357E-10</v>
      </c>
      <c r="I8" s="21">
        <f>ABS(_xll.RtGet(SourceAlias,$R8,ASK)-T8)</f>
        <v>1.0423106822088357E-10</v>
      </c>
      <c r="J8" s="21">
        <f>ABS(_xll.RtGet(SourceAlias,$V8,BID)-W8)</f>
        <v>1.003115090991713E-10</v>
      </c>
      <c r="K8" s="21">
        <f>ABS(_xll.RtGet(SourceAlias,$V8,ASK)-X8)</f>
        <v>1.003115090991713E-10</v>
      </c>
      <c r="L8" s="66" t="s">
        <v>117</v>
      </c>
      <c r="M8" s="25" t="s">
        <v>60</v>
      </c>
      <c r="N8" s="20" t="str">
        <f t="shared" si="0"/>
        <v>JPYONSND=</v>
      </c>
      <c r="O8" s="21">
        <f>'ON Pricing'!I8*100</f>
        <v>6.4187724231667964E-2</v>
      </c>
      <c r="P8" s="21">
        <f t="shared" si="3"/>
        <v>6.4187724231667964E-2</v>
      </c>
      <c r="Q8" s="25" t="s">
        <v>60</v>
      </c>
      <c r="R8" s="20" t="str">
        <f t="shared" si="1"/>
        <v>JPY3MSND=</v>
      </c>
      <c r="S8" s="21">
        <f>'3M Pricing'!I8*100</f>
        <v>0.13890307789576894</v>
      </c>
      <c r="T8" s="21">
        <f t="shared" si="4"/>
        <v>0.13890307789576894</v>
      </c>
      <c r="U8" s="25" t="s">
        <v>60</v>
      </c>
      <c r="V8" s="20" t="str">
        <f t="shared" si="2"/>
        <v>JPY6MSND=</v>
      </c>
      <c r="W8" s="21">
        <f>'6M Pricing'!I8*100</f>
        <v>0.1617213941003115</v>
      </c>
      <c r="X8" s="21">
        <f t="shared" si="5"/>
        <v>0.1617213941003115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4" t="s">
        <v>22</v>
      </c>
      <c r="B9" s="24" t="str">
        <f>IF(Contribute="abcd",IF($G$2&lt;&gt;-1,_xll.RtContribute(SourceAlias,N9,Fields,O9:P9,"SCOPE:SERVER"),_xll.RtContribute(SourceAlias,"DDS_INSERT_S",$G$2:$I$2,O9:P9,"SCOPE:SERVER FTC:ALL")),"stopped")</f>
        <v>stopped</v>
      </c>
      <c r="C9" s="24" t="str">
        <f>IF(Contribute="abcd",IF($G$2&lt;&gt;-1,_xll.RtContribute(SourceAlias,R9,Fields,S9:T9,"SCOPE:SERVER"),_xll.RtContribute(SourceAlias,"DDS_INSERT_S",$G$2:$I$2,R9:T9,"SCOPE:SERVER FTC:ALL")),"stopped")</f>
        <v>stopped</v>
      </c>
      <c r="D9" s="24" t="str">
        <f>IF(Contribute="abcd",IF($G$2&lt;&gt;-1,_xll.RtContribute(SourceAlias,V9,Fields,W9:X9,"SCOPE:SERVER"),_xll.RtContribute(SourceAlias,"DDS_INSERT_S",$G$2:$I$2,V9:X9,"SCOPE:SERVER FTC:ALL")),"stopped")</f>
        <v>stopped</v>
      </c>
      <c r="E9" s="2" t="s">
        <v>117</v>
      </c>
      <c r="F9" s="19">
        <f>ABS(_xll.RtGet(SourceAlias,$N9,BID)-O9)</f>
        <v>2.4001745035917565E-10</v>
      </c>
      <c r="G9" s="19">
        <f>ABS(_xll.RtGet(SourceAlias,$N9,ASK)-P9)</f>
        <v>2.4001745035917565E-10</v>
      </c>
      <c r="H9" s="19">
        <f>ABS(_xll.RtGet(SourceAlias,$R9,BID)-S9)</f>
        <v>9.1089913389907906E-11</v>
      </c>
      <c r="I9" s="19">
        <f>ABS(_xll.RtGet(SourceAlias,$R9,ASK)-T9)</f>
        <v>9.1089913389907906E-11</v>
      </c>
      <c r="J9" s="19">
        <f>ABS(_xll.RtGet(SourceAlias,$V9,BID)-W9)</f>
        <v>2.5227531175175955E-10</v>
      </c>
      <c r="K9" s="19">
        <f>ABS(_xll.RtGet(SourceAlias,$V9,ASK)-X9)</f>
        <v>2.5227531175175955E-10</v>
      </c>
      <c r="L9" s="66" t="s">
        <v>117</v>
      </c>
      <c r="M9" s="24" t="s">
        <v>61</v>
      </c>
      <c r="N9" s="18" t="str">
        <f t="shared" si="0"/>
        <v>JPYONSWD=</v>
      </c>
      <c r="O9" s="19">
        <f>'ON Pricing'!I9*100</f>
        <v>6.3403077759982551E-2</v>
      </c>
      <c r="P9" s="19">
        <f t="shared" si="3"/>
        <v>6.3403077759982551E-2</v>
      </c>
      <c r="Q9" s="24" t="s">
        <v>61</v>
      </c>
      <c r="R9" s="18" t="str">
        <f t="shared" si="1"/>
        <v>JPY3MSWD=</v>
      </c>
      <c r="S9" s="19">
        <f>'3M Pricing'!I9*100</f>
        <v>0.13888317190891009</v>
      </c>
      <c r="T9" s="19">
        <f t="shared" si="4"/>
        <v>0.13888317190891009</v>
      </c>
      <c r="U9" s="24" t="s">
        <v>61</v>
      </c>
      <c r="V9" s="18" t="str">
        <f t="shared" si="2"/>
        <v>JPY6MSWD=</v>
      </c>
      <c r="W9" s="19">
        <f>'6M Pricing'!I9*100</f>
        <v>0.16189687674772468</v>
      </c>
      <c r="X9" s="19">
        <f t="shared" si="5"/>
        <v>0.16189687674772468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4" t="s">
        <v>23</v>
      </c>
      <c r="B10" s="24" t="str">
        <f>IF(Contribute="abcd",IF($G$2&lt;&gt;-1,_xll.RtContribute(SourceAlias,N10,Fields,O10:P10,"SCOPE:SERVER"),_xll.RtContribute(SourceAlias,"DDS_INSERT_S",$G$2:$I$2,O10:P10,"SCOPE:SERVER FTC:ALL")),"stopped")</f>
        <v>stopped</v>
      </c>
      <c r="C10" s="24" t="str">
        <f>IF(Contribute="abcd",IF($G$2&lt;&gt;-1,_xll.RtContribute(SourceAlias,R10,Fields,S10:T10,"SCOPE:SERVER"),_xll.RtContribute(SourceAlias,"DDS_INSERT_S",$G$2:$I$2,R10:T10,"SCOPE:SERVER FTC:ALL")),"stopped")</f>
        <v>stopped</v>
      </c>
      <c r="D10" s="24" t="str">
        <f>IF(Contribute="abcd",IF($G$2&lt;&gt;-1,_xll.RtContribute(SourceAlias,V10,Fields,W10:X10,"SCOPE:SERVER"),_xll.RtContribute(SourceAlias,"DDS_INSERT_S",$G$2:$I$2,V10:X10,"SCOPE:SERVER FTC:ALL")),"stopped")</f>
        <v>stopped</v>
      </c>
      <c r="E10" s="2" t="s">
        <v>117</v>
      </c>
      <c r="F10" s="19">
        <f>ABS(_xll.RtGet(SourceAlias,$N10,BID)-O10)</f>
        <v>5.1367132769541968E-11</v>
      </c>
      <c r="G10" s="19">
        <f>ABS(_xll.RtGet(SourceAlias,$N10,ASK)-P10)</f>
        <v>5.1367132769541968E-11</v>
      </c>
      <c r="H10" s="19">
        <f>ABS(_xll.RtGet(SourceAlias,$R10,BID)-S10)</f>
        <v>1.3668174925207666E-10</v>
      </c>
      <c r="I10" s="19">
        <f>ABS(_xll.RtGet(SourceAlias,$R10,ASK)-T10)</f>
        <v>1.3668174925207666E-10</v>
      </c>
      <c r="J10" s="19">
        <f>ABS(_xll.RtGet(SourceAlias,$V10,BID)-W10)</f>
        <v>3.0342395263005528E-11</v>
      </c>
      <c r="K10" s="19">
        <f>ABS(_xll.RtGet(SourceAlias,$V10,ASK)-X10)</f>
        <v>3.0342395263005528E-11</v>
      </c>
      <c r="L10" s="66" t="s">
        <v>117</v>
      </c>
      <c r="M10" s="24" t="s">
        <v>62</v>
      </c>
      <c r="N10" s="18" t="str">
        <f t="shared" si="0"/>
        <v>JPYON2WD=</v>
      </c>
      <c r="O10" s="19">
        <f>'ON Pricing'!I10*100</f>
        <v>6.3534206948632863E-2</v>
      </c>
      <c r="P10" s="19">
        <f t="shared" si="3"/>
        <v>6.3534206948632863E-2</v>
      </c>
      <c r="Q10" s="24" t="s">
        <v>62</v>
      </c>
      <c r="R10" s="18" t="str">
        <f t="shared" si="1"/>
        <v>JPY3M2WD=</v>
      </c>
      <c r="S10" s="19">
        <f>'3M Pricing'!I10*100</f>
        <v>0.13883914013668175</v>
      </c>
      <c r="T10" s="19">
        <f t="shared" si="4"/>
        <v>0.13883914013668175</v>
      </c>
      <c r="U10" s="24" t="s">
        <v>62</v>
      </c>
      <c r="V10" s="18" t="str">
        <f t="shared" si="2"/>
        <v>JPY6M2WD=</v>
      </c>
      <c r="W10" s="19">
        <f>'6M Pricing'!I10*100</f>
        <v>0.16226142103034238</v>
      </c>
      <c r="X10" s="19">
        <f t="shared" si="5"/>
        <v>0.16226142103034238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4" t="s">
        <v>24</v>
      </c>
      <c r="B11" s="24" t="str">
        <f>IF(Contribute="abcd",IF($G$2&lt;&gt;-1,_xll.RtContribute(SourceAlias,N11,Fields,O11:P11,"SCOPE:SERVER"),_xll.RtContribute(SourceAlias,"DDS_INSERT_S",$G$2:$I$2,O11:P11,"SCOPE:SERVER FTC:ALL")),"stopped")</f>
        <v>stopped</v>
      </c>
      <c r="C11" s="24" t="str">
        <f>IF(Contribute="abcd",IF($G$2&lt;&gt;-1,_xll.RtContribute(SourceAlias,R11,Fields,S11:T11,"SCOPE:SERVER"),_xll.RtContribute(SourceAlias,"DDS_INSERT_S",$G$2:$I$2,R11:T11,"SCOPE:SERVER FTC:ALL")),"stopped")</f>
        <v>stopped</v>
      </c>
      <c r="D11" s="24" t="str">
        <f>IF(Contribute="abcd",IF($G$2&lt;&gt;-1,_xll.RtContribute(SourceAlias,V11,Fields,W11:X11,"SCOPE:SERVER"),_xll.RtContribute(SourceAlias,"DDS_INSERT_S",$G$2:$I$2,V11:X11,"SCOPE:SERVER FTC:ALL")),"stopped")</f>
        <v>stopped</v>
      </c>
      <c r="E11" s="2" t="s">
        <v>117</v>
      </c>
      <c r="F11" s="19">
        <f>ABS(_xll.RtGet(SourceAlias,$N11,BID)-O11)</f>
        <v>2.8807806140562775E-10</v>
      </c>
      <c r="G11" s="19">
        <f>ABS(_xll.RtGet(SourceAlias,$N11,ASK)-P11)</f>
        <v>2.8807806140562775E-10</v>
      </c>
      <c r="H11" s="19">
        <f>ABS(_xll.RtGet(SourceAlias,$R11,BID)-S11)</f>
        <v>9.9817099030730105E-11</v>
      </c>
      <c r="I11" s="19">
        <f>ABS(_xll.RtGet(SourceAlias,$R11,ASK)-T11)</f>
        <v>9.9817099030730105E-11</v>
      </c>
      <c r="J11" s="19">
        <f>ABS(_xll.RtGet(SourceAlias,$V11,BID)-W11)</f>
        <v>3.9841135945906103E-10</v>
      </c>
      <c r="K11" s="19">
        <f>ABS(_xll.RtGet(SourceAlias,$V11,ASK)-X11)</f>
        <v>3.9841135945906103E-10</v>
      </c>
      <c r="L11" s="66" t="s">
        <v>117</v>
      </c>
      <c r="M11" s="24" t="s">
        <v>63</v>
      </c>
      <c r="N11" s="18" t="str">
        <f t="shared" si="0"/>
        <v>JPYON3WD=</v>
      </c>
      <c r="O11" s="19">
        <f>'ON Pricing'!I11*100</f>
        <v>6.3745539711921942E-2</v>
      </c>
      <c r="P11" s="19">
        <f t="shared" si="3"/>
        <v>6.3745539711921942E-2</v>
      </c>
      <c r="Q11" s="24" t="s">
        <v>63</v>
      </c>
      <c r="R11" s="18" t="str">
        <f t="shared" si="1"/>
        <v>JPY3M3WD=</v>
      </c>
      <c r="S11" s="19">
        <f>'3M Pricing'!I11*100</f>
        <v>0.1387563029001829</v>
      </c>
      <c r="T11" s="19">
        <f t="shared" si="4"/>
        <v>0.1387563029001829</v>
      </c>
      <c r="U11" s="24" t="s">
        <v>63</v>
      </c>
      <c r="V11" s="18" t="str">
        <f t="shared" si="2"/>
        <v>JPY6M3WD=</v>
      </c>
      <c r="W11" s="19">
        <f>'6M Pricing'!I11*100</f>
        <v>0.16293656439841137</v>
      </c>
      <c r="X11" s="19">
        <f t="shared" si="5"/>
        <v>0.16293656439841137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4" t="s">
        <v>25</v>
      </c>
      <c r="B12" s="24" t="str">
        <f>IF(Contribute="abcd",IF($G$2&lt;&gt;-1,_xll.RtContribute(SourceAlias,N12,Fields,O12:P12,"SCOPE:SERVER"),_xll.RtContribute(SourceAlias,"DDS_INSERT_S",$G$2:$I$2,O12:P12,"SCOPE:SERVER FTC:ALL")),"stopped")</f>
        <v>stopped</v>
      </c>
      <c r="C12" s="24" t="str">
        <f>IF(Contribute="abcd",IF($G$2&lt;&gt;-1,_xll.RtContribute(SourceAlias,R12,Fields,S12:T12,"SCOPE:SERVER"),_xll.RtContribute(SourceAlias,"DDS_INSERT_S",$G$2:$I$2,R12:T12,"SCOPE:SERVER FTC:ALL")),"stopped")</f>
        <v>stopped</v>
      </c>
      <c r="D12" s="24" t="str">
        <f>IF(Contribute="abcd",IF($G$2&lt;&gt;-1,_xll.RtContribute(SourceAlias,V12,Fields,W12:X12,"SCOPE:SERVER"),_xll.RtContribute(SourceAlias,"DDS_INSERT_S",$G$2:$I$2,V12:X12,"SCOPE:SERVER FTC:ALL")),"stopped")</f>
        <v>stopped</v>
      </c>
      <c r="E12" s="2" t="s">
        <v>117</v>
      </c>
      <c r="F12" s="19">
        <f>ABS(_xll.RtGet(SourceAlias,$N12,BID)-O12)</f>
        <v>4.2471720584913442E-11</v>
      </c>
      <c r="G12" s="19">
        <f>ABS(_xll.RtGet(SourceAlias,$N12,ASK)-P12)</f>
        <v>4.2471720584913442E-11</v>
      </c>
      <c r="H12" s="19">
        <f>ABS(_xll.RtGet(SourceAlias,$R12,BID)-S12)</f>
        <v>1.8857138073258284E-13</v>
      </c>
      <c r="I12" s="19">
        <f>ABS(_xll.RtGet(SourceAlias,$R12,ASK)-T12)</f>
        <v>1.8857138073258284E-13</v>
      </c>
      <c r="J12" s="19">
        <f>ABS(_xll.RtGet(SourceAlias,$V12,BID)-W12)</f>
        <v>3.652633751016765E-14</v>
      </c>
      <c r="K12" s="19">
        <f>ABS(_xll.RtGet(SourceAlias,$V12,ASK)-X12)</f>
        <v>3.652633751016765E-14</v>
      </c>
      <c r="L12" s="66" t="s">
        <v>117</v>
      </c>
      <c r="M12" s="24" t="s">
        <v>64</v>
      </c>
      <c r="N12" s="18" t="str">
        <f t="shared" si="0"/>
        <v>JPYON1MD=</v>
      </c>
      <c r="O12" s="19">
        <f>'ON Pricing'!I12*100</f>
        <v>6.4109588957528274E-2</v>
      </c>
      <c r="P12" s="19">
        <f t="shared" si="3"/>
        <v>6.4109588957528274E-2</v>
      </c>
      <c r="Q12" s="24" t="s">
        <v>64</v>
      </c>
      <c r="R12" s="18" t="str">
        <f t="shared" si="1"/>
        <v>JPY3M1MD=</v>
      </c>
      <c r="S12" s="19">
        <f>'3M Pricing'!I12*100</f>
        <v>0.13860000000018857</v>
      </c>
      <c r="T12" s="19">
        <f t="shared" si="4"/>
        <v>0.13860000000018857</v>
      </c>
      <c r="U12" s="24" t="s">
        <v>64</v>
      </c>
      <c r="V12" s="18" t="str">
        <f t="shared" si="2"/>
        <v>JPY6M1MD=</v>
      </c>
      <c r="W12" s="19">
        <f>'6M Pricing'!I12*100</f>
        <v>0.16420000000003654</v>
      </c>
      <c r="X12" s="19">
        <f t="shared" si="5"/>
        <v>0.16420000000003654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4" t="s">
        <v>26</v>
      </c>
      <c r="B13" s="24" t="str">
        <f>IF(Contribute="abcd",IF($G$2&lt;&gt;-1,_xll.RtContribute(SourceAlias,N13,Fields,O13:P13,"SCOPE:SERVER"),_xll.RtContribute(SourceAlias,"DDS_INSERT_S",$G$2:$I$2,O13:P13,"SCOPE:SERVER FTC:ALL")),"stopped")</f>
        <v>stopped</v>
      </c>
      <c r="C13" s="24" t="str">
        <f>IF(Contribute="abcd",IF($G$2&lt;&gt;-1,_xll.RtContribute(SourceAlias,R13,Fields,S13:T13,"SCOPE:SERVER"),_xll.RtContribute(SourceAlias,"DDS_INSERT_S",$G$2:$I$2,R13:T13,"SCOPE:SERVER FTC:ALL")),"stopped")</f>
        <v>stopped</v>
      </c>
      <c r="D13" s="24" t="str">
        <f>IF(Contribute="abcd",IF($G$2&lt;&gt;-1,_xll.RtContribute(SourceAlias,V13,Fields,W13:X13,"SCOPE:SERVER"),_xll.RtContribute(SourceAlias,"DDS_INSERT_S",$G$2:$I$2,V13:X13,"SCOPE:SERVER FTC:ALL")),"stopped")</f>
        <v>stopped</v>
      </c>
      <c r="E13" s="2" t="s">
        <v>117</v>
      </c>
      <c r="F13" s="19">
        <f>ABS(_xll.RtGet(SourceAlias,$N13,BID)-O13)</f>
        <v>3.126727626812098E-10</v>
      </c>
      <c r="G13" s="19">
        <f>ABS(_xll.RtGet(SourceAlias,$N13,ASK)-P13)</f>
        <v>3.126727626812098E-10</v>
      </c>
      <c r="H13" s="19">
        <f>ABS(_xll.RtGet(SourceAlias,$R13,BID)-S13)</f>
        <v>6.9472205765919171E-14</v>
      </c>
      <c r="I13" s="19">
        <f>ABS(_xll.RtGet(SourceAlias,$R13,ASK)-T13)</f>
        <v>6.9472205765919171E-14</v>
      </c>
      <c r="J13" s="19">
        <f>ABS(_xll.RtGet(SourceAlias,$V13,BID)-W13)</f>
        <v>5.7676086129276882E-14</v>
      </c>
      <c r="K13" s="19">
        <f>ABS(_xll.RtGet(SourceAlias,$V13,ASK)-X13)</f>
        <v>5.7676086129276882E-14</v>
      </c>
      <c r="L13" s="66" t="s">
        <v>117</v>
      </c>
      <c r="M13" s="24" t="s">
        <v>65</v>
      </c>
      <c r="N13" s="18" t="str">
        <f t="shared" si="0"/>
        <v>JPYON2MD=</v>
      </c>
      <c r="O13" s="19">
        <f>'ON Pricing'!I13*100</f>
        <v>6.4109589312672757E-2</v>
      </c>
      <c r="P13" s="19">
        <f t="shared" si="3"/>
        <v>6.4109589312672757E-2</v>
      </c>
      <c r="Q13" s="24" t="s">
        <v>65</v>
      </c>
      <c r="R13" s="18" t="str">
        <f t="shared" si="1"/>
        <v>JPY3M2MD=</v>
      </c>
      <c r="S13" s="19">
        <f>'3M Pricing'!I13*100</f>
        <v>0.13629999999993053</v>
      </c>
      <c r="T13" s="19">
        <f t="shared" si="4"/>
        <v>0.13629999999993053</v>
      </c>
      <c r="U13" s="24" t="s">
        <v>65</v>
      </c>
      <c r="V13" s="18" t="str">
        <f t="shared" si="2"/>
        <v>JPY6M2MD=</v>
      </c>
      <c r="W13" s="19">
        <f>'6M Pricing'!I13*100</f>
        <v>0.16869999999994231</v>
      </c>
      <c r="X13" s="19">
        <f t="shared" si="5"/>
        <v>0.16869999999994231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4" t="s">
        <v>27</v>
      </c>
      <c r="B14" s="24" t="str">
        <f>IF(Contribute="abcd",IF($G$2&lt;&gt;-1,_xll.RtContribute(SourceAlias,N14,Fields,O14:P14,"SCOPE:SERVER"),_xll.RtContribute(SourceAlias,"DDS_INSERT_S",$G$2:$I$2,O14:P14,"SCOPE:SERVER FTC:ALL")),"stopped")</f>
        <v>stopped</v>
      </c>
      <c r="C14" s="24" t="str">
        <f>IF(Contribute="abcd",IF($G$2&lt;&gt;-1,_xll.RtContribute(SourceAlias,R14,Fields,S14:T14,"SCOPE:SERVER"),_xll.RtContribute(SourceAlias,"DDS_INSERT_S",$G$2:$I$2,R14:T14,"SCOPE:SERVER FTC:ALL")),"stopped")</f>
        <v>stopped</v>
      </c>
      <c r="D14" s="24" t="str">
        <f>IF(Contribute="abcd",IF($G$2&lt;&gt;-1,_xll.RtContribute(SourceAlias,V14,Fields,W14:X14,"SCOPE:SERVER"),_xll.RtContribute(SourceAlias,"DDS_INSERT_S",$G$2:$I$2,V14:X14,"SCOPE:SERVER FTC:ALL")),"stopped")</f>
        <v>stopped</v>
      </c>
      <c r="E14" s="2" t="s">
        <v>117</v>
      </c>
      <c r="F14" s="19">
        <f>ABS(_xll.RtGet(SourceAlias,$N14,BID)-O14)</f>
        <v>6.8528420438251914E-10</v>
      </c>
      <c r="G14" s="19">
        <f>ABS(_xll.RtGet(SourceAlias,$N14,ASK)-P14)</f>
        <v>6.8528420438251914E-10</v>
      </c>
      <c r="H14" s="19">
        <f>ABS(_xll.RtGet(SourceAlias,$R14,BID)-S14)</f>
        <v>2.0028423364237824E-12</v>
      </c>
      <c r="I14" s="19">
        <f>ABS(_xll.RtGet(SourceAlias,$R14,ASK)-T14)</f>
        <v>2.0028423364237824E-12</v>
      </c>
      <c r="J14" s="19">
        <f>ABS(_xll.RtGet(SourceAlias,$V14,BID)-W14)</f>
        <v>6.8861583102375334E-14</v>
      </c>
      <c r="K14" s="19">
        <f>ABS(_xll.RtGet(SourceAlias,$V14,ASK)-X14)</f>
        <v>6.8861583102375334E-14</v>
      </c>
      <c r="L14" s="66" t="s">
        <v>117</v>
      </c>
      <c r="M14" s="24" t="s">
        <v>66</v>
      </c>
      <c r="N14" s="18" t="str">
        <f t="shared" si="0"/>
        <v>JPYON3MD=</v>
      </c>
      <c r="O14" s="19">
        <f>'ON Pricing'!I14*100</f>
        <v>6.1643835685284205E-2</v>
      </c>
      <c r="P14" s="19">
        <f t="shared" si="3"/>
        <v>6.1643835685284205E-2</v>
      </c>
      <c r="Q14" s="24" t="s">
        <v>66</v>
      </c>
      <c r="R14" s="18" t="str">
        <f t="shared" si="1"/>
        <v>JPY3M3MD=</v>
      </c>
      <c r="S14" s="19">
        <f>'3M Pricing'!I14*100</f>
        <v>0.13259999999799715</v>
      </c>
      <c r="T14" s="19">
        <f t="shared" si="4"/>
        <v>0.13259999999799715</v>
      </c>
      <c r="U14" s="24" t="s">
        <v>66</v>
      </c>
      <c r="V14" s="18" t="str">
        <f t="shared" si="2"/>
        <v>JPY6M3MD=</v>
      </c>
      <c r="W14" s="19">
        <f>'6M Pricing'!I14*100</f>
        <v>0.16949999999993115</v>
      </c>
      <c r="X14" s="19">
        <f t="shared" si="5"/>
        <v>0.16949999999993115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4" t="s">
        <v>28</v>
      </c>
      <c r="B15" s="24" t="str">
        <f>IF(Contribute="abcd",IF($G$2&lt;&gt;-1,_xll.RtContribute(SourceAlias,N15,Fields,O15:P15,"SCOPE:SERVER"),_xll.RtContribute(SourceAlias,"DDS_INSERT_S",$G$2:$I$2,O15:P15,"SCOPE:SERVER FTC:ALL")),"stopped")</f>
        <v>stopped</v>
      </c>
      <c r="C15" s="24" t="str">
        <f>IF(Contribute="abcd",IF($G$2&lt;&gt;-1,_xll.RtContribute(SourceAlias,R15,Fields,S15:T15,"SCOPE:SERVER"),_xll.RtContribute(SourceAlias,"DDS_INSERT_S",$G$2:$I$2,R15:T15,"SCOPE:SERVER FTC:ALL")),"stopped")</f>
        <v>stopped</v>
      </c>
      <c r="D15" s="24" t="str">
        <f>IF(Contribute="abcd",IF($G$2&lt;&gt;-1,_xll.RtContribute(SourceAlias,V15,Fields,W15:X15,"SCOPE:SERVER"),_xll.RtContribute(SourceAlias,"DDS_INSERT_S",$G$2:$I$2,V15:X15,"SCOPE:SERVER FTC:ALL")),"stopped")</f>
        <v>stopped</v>
      </c>
      <c r="E15" s="2" t="s">
        <v>117</v>
      </c>
      <c r="F15" s="19">
        <f>ABS(_xll.RtGet(SourceAlias,$N15,BID)-O15)</f>
        <v>3.1858877341806036E-10</v>
      </c>
      <c r="G15" s="19">
        <f>ABS(_xll.RtGet(SourceAlias,$N15,ASK)-P15)</f>
        <v>3.1858877341806036E-10</v>
      </c>
      <c r="H15" s="19">
        <f>ABS(_xll.RtGet(SourceAlias,$R15,BID)-S15)</f>
        <v>1.7208456881689926E-14</v>
      </c>
      <c r="I15" s="19">
        <f>ABS(_xll.RtGet(SourceAlias,$R15,ASK)-T15)</f>
        <v>1.7208456881689926E-14</v>
      </c>
      <c r="J15" s="19">
        <f>ABS(_xll.RtGet(SourceAlias,$V15,BID)-W15)</f>
        <v>6.5669691906578009E-14</v>
      </c>
      <c r="K15" s="19">
        <f>ABS(_xll.RtGet(SourceAlias,$V15,ASK)-X15)</f>
        <v>6.5669691906578009E-14</v>
      </c>
      <c r="L15" s="66" t="s">
        <v>117</v>
      </c>
      <c r="M15" s="24" t="s">
        <v>67</v>
      </c>
      <c r="N15" s="18" t="str">
        <f t="shared" si="0"/>
        <v>JPYON4MD=</v>
      </c>
      <c r="O15" s="19">
        <f>'ON Pricing'!I15*100</f>
        <v>6.1643835681411227E-2</v>
      </c>
      <c r="P15" s="19">
        <f t="shared" si="3"/>
        <v>6.1643835681411227E-2</v>
      </c>
      <c r="Q15" s="24" t="s">
        <v>98</v>
      </c>
      <c r="R15" s="18" t="str">
        <f t="shared" si="1"/>
        <v>JPY3M1x4F=</v>
      </c>
      <c r="S15" s="19">
        <f>'3M Pricing'!I15*100</f>
        <v>0.1299999999999828</v>
      </c>
      <c r="T15" s="19">
        <f t="shared" si="4"/>
        <v>0.1299999999999828</v>
      </c>
      <c r="U15" s="24" t="s">
        <v>67</v>
      </c>
      <c r="V15" s="18" t="str">
        <f t="shared" si="2"/>
        <v>JPY6M4MD=</v>
      </c>
      <c r="W15" s="19">
        <f>'6M Pricing'!I15*100</f>
        <v>0.17249999999993432</v>
      </c>
      <c r="X15" s="19">
        <f t="shared" si="5"/>
        <v>0.17249999999993432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4" t="s">
        <v>29</v>
      </c>
      <c r="B16" s="24" t="str">
        <f>IF(Contribute="abcd",IF($G$2&lt;&gt;-1,_xll.RtContribute(SourceAlias,N16,Fields,O16:P16,"SCOPE:SERVER"),_xll.RtContribute(SourceAlias,"DDS_INSERT_S",$G$2:$I$2,O16:P16,"SCOPE:SERVER FTC:ALL")),"stopped")</f>
        <v>stopped</v>
      </c>
      <c r="C16" s="24" t="str">
        <f>IF(Contribute="abcd",IF($G$2&lt;&gt;-1,_xll.RtContribute(SourceAlias,R16,Fields,S16:T16,"SCOPE:SERVER"),_xll.RtContribute(SourceAlias,"DDS_INSERT_S",$G$2:$I$2,R16:T16,"SCOPE:SERVER FTC:ALL")),"stopped")</f>
        <v>stopped</v>
      </c>
      <c r="D16" s="24" t="str">
        <f>IF(Contribute="abcd",IF($G$2&lt;&gt;-1,_xll.RtContribute(SourceAlias,V16,Fields,W16:X16,"SCOPE:SERVER"),_xll.RtContribute(SourceAlias,"DDS_INSERT_S",$G$2:$I$2,V16:X16,"SCOPE:SERVER FTC:ALL")),"stopped")</f>
        <v>stopped</v>
      </c>
      <c r="E16" s="2" t="s">
        <v>117</v>
      </c>
      <c r="F16" s="19">
        <f>ABS(_xll.RtGet(SourceAlias,$N16,BID)-O16)</f>
        <v>3.3529073267812848E-10</v>
      </c>
      <c r="G16" s="19">
        <f>ABS(_xll.RtGet(SourceAlias,$N16,ASK)-P16)</f>
        <v>3.3529073267812848E-10</v>
      </c>
      <c r="H16" s="19">
        <f>ABS(_xll.RtGet(SourceAlias,$R16,BID)-S16)</f>
        <v>1.7208456881689926E-14</v>
      </c>
      <c r="I16" s="19">
        <f>ABS(_xll.RtGet(SourceAlias,$R16,ASK)-T16)</f>
        <v>1.7208456881689926E-14</v>
      </c>
      <c r="J16" s="19">
        <f>ABS(_xll.RtGet(SourceAlias,$V16,BID)-W16)</f>
        <v>4.2327252813834093E-14</v>
      </c>
      <c r="K16" s="19">
        <f>ABS(_xll.RtGet(SourceAlias,$V16,ASK)-X16)</f>
        <v>4.2327252813834093E-14</v>
      </c>
      <c r="L16" s="66" t="s">
        <v>117</v>
      </c>
      <c r="M16" s="24" t="s">
        <v>68</v>
      </c>
      <c r="N16" s="18" t="str">
        <f t="shared" si="0"/>
        <v>JPYON5MD=</v>
      </c>
      <c r="O16" s="19">
        <f>'ON Pricing'!I16*100</f>
        <v>6.1643835664709268E-2</v>
      </c>
      <c r="P16" s="19">
        <f t="shared" si="3"/>
        <v>6.1643835664709268E-2</v>
      </c>
      <c r="Q16" s="24" t="s">
        <v>99</v>
      </c>
      <c r="R16" s="18" t="str">
        <f t="shared" si="1"/>
        <v>JPY3M2x5F=</v>
      </c>
      <c r="S16" s="19">
        <f>'3M Pricing'!I16*100</f>
        <v>0.1299999999999828</v>
      </c>
      <c r="T16" s="19">
        <f t="shared" si="4"/>
        <v>0.1299999999999828</v>
      </c>
      <c r="U16" s="24" t="s">
        <v>68</v>
      </c>
      <c r="V16" s="18" t="str">
        <f t="shared" si="2"/>
        <v>JPY6M5MD=</v>
      </c>
      <c r="W16" s="19">
        <f>'6M Pricing'!I16*100</f>
        <v>0.17489999999995767</v>
      </c>
      <c r="X16" s="19">
        <f t="shared" si="5"/>
        <v>0.17489999999995767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4" t="s">
        <v>18</v>
      </c>
      <c r="B17" s="24" t="str">
        <f>IF(Contribute="abcd",IF($G$2&lt;&gt;-1,_xll.RtContribute(SourceAlias,N17,Fields,O17:P17,"SCOPE:SERVER"),_xll.RtContribute(SourceAlias,"DDS_INSERT_S",$G$2:$I$2,O17:P17,"SCOPE:SERVER FTC:ALL")),"stopped")</f>
        <v>stopped</v>
      </c>
      <c r="C17" s="24" t="str">
        <f>IF(Contribute="abcd",IF($G$2&lt;&gt;-1,_xll.RtContribute(SourceAlias,R17,Fields,S17:T17,"SCOPE:SERVER"),_xll.RtContribute(SourceAlias,"DDS_INSERT_S",$G$2:$I$2,R17:T17,"SCOPE:SERVER FTC:ALL")),"stopped")</f>
        <v>stopped</v>
      </c>
      <c r="D17" s="24" t="str">
        <f>IF(Contribute="abcd",IF($G$2&lt;&gt;-1,_xll.RtContribute(SourceAlias,V17,Fields,W17:X17,"SCOPE:SERVER"),_xll.RtContribute(SourceAlias,"DDS_INSERT_S",$G$2:$I$2,V17:X17,"SCOPE:SERVER FTC:ALL")),"stopped")</f>
        <v>stopped</v>
      </c>
      <c r="E17" s="2" t="s">
        <v>117</v>
      </c>
      <c r="F17" s="19">
        <f>ABS(_xll.RtGet(SourceAlias,$N17,BID)-O17)</f>
        <v>2.3318402070371391E-10</v>
      </c>
      <c r="G17" s="19">
        <f>ABS(_xll.RtGet(SourceAlias,$N17,ASK)-P17)</f>
        <v>2.3318402070371391E-10</v>
      </c>
      <c r="H17" s="19">
        <f>ABS(_xll.RtGet(SourceAlias,$R17,BID)-S17)</f>
        <v>1.9153567620833201E-12</v>
      </c>
      <c r="I17" s="19">
        <f>ABS(_xll.RtGet(SourceAlias,$R17,ASK)-T17)</f>
        <v>1.9153567620833201E-12</v>
      </c>
      <c r="J17" s="19">
        <f>ABS(_xll.RtGet(SourceAlias,$V17,BID)-W17)</f>
        <v>1.0796918914479647E-14</v>
      </c>
      <c r="K17" s="19">
        <f>ABS(_xll.RtGet(SourceAlias,$V17,ASK)-X17)</f>
        <v>1.0796918914479647E-14</v>
      </c>
      <c r="L17" s="66" t="s">
        <v>117</v>
      </c>
      <c r="M17" s="24" t="s">
        <v>69</v>
      </c>
      <c r="N17" s="18" t="str">
        <f t="shared" si="0"/>
        <v>JPYON6MD=</v>
      </c>
      <c r="O17" s="19">
        <f>'ON Pricing'!I17*100</f>
        <v>5.9178082233184021E-2</v>
      </c>
      <c r="P17" s="19">
        <f t="shared" si="3"/>
        <v>5.9178082233184021E-2</v>
      </c>
      <c r="Q17" s="24" t="s">
        <v>100</v>
      </c>
      <c r="R17" s="18" t="str">
        <f t="shared" si="1"/>
        <v>JPY3M3x6F=</v>
      </c>
      <c r="S17" s="19">
        <f>'3M Pricing'!I17*100</f>
        <v>0.12999999999808465</v>
      </c>
      <c r="T17" s="19">
        <f t="shared" si="4"/>
        <v>0.12999999999808465</v>
      </c>
      <c r="U17" s="24" t="s">
        <v>69</v>
      </c>
      <c r="V17" s="18" t="str">
        <f t="shared" si="2"/>
        <v>JPY6M6MD=</v>
      </c>
      <c r="W17" s="19">
        <f>'6M Pricing'!I17*100</f>
        <v>0.17399999999998919</v>
      </c>
      <c r="X17" s="19">
        <f t="shared" si="5"/>
        <v>0.17399999999998919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4" t="s">
        <v>30</v>
      </c>
      <c r="B18" s="24"/>
      <c r="C18" s="24" t="str">
        <f>IF(Contribute="abcd",IF($G$2&lt;&gt;-1,_xll.RtContribute(SourceAlias,R18,Fields,S18:T18,"SCOPE:SERVER"),_xll.RtContribute(SourceAlias,"DDS_INSERT_S",$G$2:$I$2,R18:T18,"SCOPE:SERVER FTC:ALL")),"stopped")</f>
        <v>stopped</v>
      </c>
      <c r="D18" s="24" t="str">
        <f>IF(Contribute="abcd",IF($G$2&lt;&gt;-1,_xll.RtContribute(SourceAlias,V18,Fields,W18:X18,"SCOPE:SERVER"),_xll.RtContribute(SourceAlias,"DDS_INSERT_S",$G$2:$I$2,V18:X18,"SCOPE:SERVER FTC:ALL")),"stopped")</f>
        <v>stopped</v>
      </c>
      <c r="E18" s="2" t="s">
        <v>117</v>
      </c>
      <c r="F18" s="19"/>
      <c r="G18" s="19"/>
      <c r="H18" s="19">
        <f>ABS(_xll.RtGet(SourceAlias,$R18,BID)-S18)</f>
        <v>3.652633751016765E-14</v>
      </c>
      <c r="I18" s="19">
        <f>ABS(_xll.RtGet(SourceAlias,$R18,ASK)-T18)</f>
        <v>3.652633751016765E-14</v>
      </c>
      <c r="J18" s="19">
        <f>ABS(_xll.RtGet(SourceAlias,$V18,BID)-W18)</f>
        <v>1.7430501486614958E-14</v>
      </c>
      <c r="K18" s="19">
        <f>ABS(_xll.RtGet(SourceAlias,$V18,ASK)-X18)</f>
        <v>1.7430501486614958E-14</v>
      </c>
      <c r="L18" s="66" t="s">
        <v>117</v>
      </c>
      <c r="M18" s="24"/>
      <c r="N18" s="18"/>
      <c r="O18" s="19"/>
      <c r="P18" s="19"/>
      <c r="Q18" s="24" t="s">
        <v>101</v>
      </c>
      <c r="R18" s="18" t="str">
        <f t="shared" si="1"/>
        <v>JPY3M4x7F=</v>
      </c>
      <c r="S18" s="19">
        <f>'3M Pricing'!I18*100</f>
        <v>0.12999999999996348</v>
      </c>
      <c r="T18" s="19">
        <f t="shared" si="4"/>
        <v>0.12999999999996348</v>
      </c>
      <c r="U18" s="24" t="s">
        <v>102</v>
      </c>
      <c r="V18" s="18" t="str">
        <f t="shared" si="2"/>
        <v>JPY6M1x7F=</v>
      </c>
      <c r="W18" s="19">
        <f>'6M Pricing'!I18*100</f>
        <v>0.17499999999998256</v>
      </c>
      <c r="X18" s="19">
        <f t="shared" si="5"/>
        <v>0.17499999999998256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4" t="s">
        <v>31</v>
      </c>
      <c r="B19" s="24" t="s">
        <v>117</v>
      </c>
      <c r="C19" s="24" t="str">
        <f>IF(Contribute="abcd",IF($G$2&lt;&gt;-1,_xll.RtContribute(SourceAlias,R19,Fields,S19:T19,"SCOPE:SERVER"),_xll.RtContribute(SourceAlias,"DDS_INSERT_S",$G$2:$I$2,R19:T19,"SCOPE:SERVER FTC:ALL")),"stopped")</f>
        <v>stopped</v>
      </c>
      <c r="D19" s="24" t="str">
        <f>IF(Contribute="abcd",IF($G$2&lt;&gt;-1,_xll.RtContribute(SourceAlias,V19,Fields,W19:X19,"SCOPE:SERVER"),_xll.RtContribute(SourceAlias,"DDS_INSERT_S",$G$2:$I$2,V19:X19,"SCOPE:SERVER FTC:ALL")),"stopped")</f>
        <v>stopped</v>
      </c>
      <c r="E19" s="2" t="s">
        <v>117</v>
      </c>
      <c r="F19" s="19"/>
      <c r="G19" s="19"/>
      <c r="H19" s="19">
        <f>ABS(_xll.RtGet(SourceAlias,$R19,BID)-S19)</f>
        <v>3.8106184874209248E-11</v>
      </c>
      <c r="I19" s="19">
        <f>ABS(_xll.RtGet(SourceAlias,$R19,ASK)-T19)</f>
        <v>3.8106184874209248E-11</v>
      </c>
      <c r="J19" s="19">
        <f>ABS(_xll.RtGet(SourceAlias,$V19,BID)-W19)</f>
        <v>1.7430501486614958E-14</v>
      </c>
      <c r="K19" s="19">
        <f>ABS(_xll.RtGet(SourceAlias,$V19,ASK)-X19)</f>
        <v>1.7430501486614958E-14</v>
      </c>
      <c r="L19" s="66" t="s">
        <v>117</v>
      </c>
      <c r="M19" s="24"/>
      <c r="N19" s="18"/>
      <c r="O19" s="19"/>
      <c r="P19" s="19"/>
      <c r="Q19" s="24" t="s">
        <v>103</v>
      </c>
      <c r="R19" s="18" t="str">
        <f t="shared" si="1"/>
        <v>JPY3M5x8F=</v>
      </c>
      <c r="S19" s="19">
        <f>'3M Pricing'!I19*100</f>
        <v>0.12999999996189382</v>
      </c>
      <c r="T19" s="19">
        <f t="shared" si="4"/>
        <v>0.12999999996189382</v>
      </c>
      <c r="U19" s="24" t="s">
        <v>104</v>
      </c>
      <c r="V19" s="18" t="str">
        <f t="shared" si="2"/>
        <v>JPY6M2x8F=</v>
      </c>
      <c r="W19" s="19">
        <f>'6M Pricing'!I19*100</f>
        <v>0.17499999999998256</v>
      </c>
      <c r="X19" s="19">
        <f t="shared" si="5"/>
        <v>0.17499999999998256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4" t="s">
        <v>32</v>
      </c>
      <c r="B20" s="24" t="str">
        <f>IF(Contribute="abcd",IF($G$2&lt;&gt;-1,_xll.RtContribute(SourceAlias,N20,Fields,O20:P20,"SCOPE:SERVER"),_xll.RtContribute(SourceAlias,"DDS_INSERT_S",$G$2:$I$2,O20:P20,"SCOPE:SERVER FTC:ALL")),"stopped")</f>
        <v>stopped</v>
      </c>
      <c r="C20" s="24" t="str">
        <f>IF(Contribute="abcd",IF($G$2&lt;&gt;-1,_xll.RtContribute(SourceAlias,R20,Fields,S20:T20,"SCOPE:SERVER"),_xll.RtContribute(SourceAlias,"DDS_INSERT_S",$G$2:$I$2,R20:T20,"SCOPE:SERVER FTC:ALL")),"stopped")</f>
        <v>stopped</v>
      </c>
      <c r="D20" s="24" t="str">
        <f>IF(Contribute="abcd",IF($G$2&lt;&gt;-1,_xll.RtContribute(SourceAlias,V20,Fields,W20:X20,"SCOPE:SERVER"),_xll.RtContribute(SourceAlias,"DDS_INSERT_S",$G$2:$I$2,V20:X20,"SCOPE:SERVER FTC:ALL")),"stopped")</f>
        <v>stopped</v>
      </c>
      <c r="E20" s="2" t="s">
        <v>117</v>
      </c>
      <c r="F20" s="19">
        <f>ABS(_xll.RtGet(SourceAlias,$N20,BID)-O20)</f>
        <v>2.0527140404125177E-10</v>
      </c>
      <c r="G20" s="19">
        <f>ABS(_xll.RtGet(SourceAlias,$N20,ASK)-P20)</f>
        <v>2.0527140404125177E-10</v>
      </c>
      <c r="H20" s="19">
        <f>ABS(_xll.RtGet(SourceAlias,$R20,BID)-S20)</f>
        <v>1.7208456881689926E-14</v>
      </c>
      <c r="I20" s="19">
        <f>ABS(_xll.RtGet(SourceAlias,$R20,ASK)-T20)</f>
        <v>1.7208456881689926E-14</v>
      </c>
      <c r="J20" s="19">
        <f>ABS(_xll.RtGet(SourceAlias,$V20,BID)-W20)</f>
        <v>1.0524914273446484E-13</v>
      </c>
      <c r="K20" s="19">
        <f>ABS(_xll.RtGet(SourceAlias,$V20,ASK)-X20)</f>
        <v>1.0524914273446484E-13</v>
      </c>
      <c r="L20" s="66" t="s">
        <v>117</v>
      </c>
      <c r="M20" s="24" t="s">
        <v>70</v>
      </c>
      <c r="N20" s="18" t="str">
        <f>Currency&amp;"ON"&amp;M20&amp;"="</f>
        <v>JPYON9MD=</v>
      </c>
      <c r="O20" s="19">
        <f>'ON Pricing'!I20*100</f>
        <v>5.6712328794728595E-2</v>
      </c>
      <c r="P20" s="19">
        <f t="shared" si="3"/>
        <v>5.6712328794728595E-2</v>
      </c>
      <c r="Q20" s="24" t="s">
        <v>105</v>
      </c>
      <c r="R20" s="18" t="str">
        <f t="shared" si="1"/>
        <v>JPY3M6x9F=</v>
      </c>
      <c r="S20" s="19">
        <f>'3M Pricing'!I20*100</f>
        <v>0.1299999999999828</v>
      </c>
      <c r="T20" s="19">
        <f t="shared" si="4"/>
        <v>0.1299999999999828</v>
      </c>
      <c r="U20" s="24" t="s">
        <v>106</v>
      </c>
      <c r="V20" s="18" t="str">
        <f t="shared" si="2"/>
        <v>JPY6M3x9F=</v>
      </c>
      <c r="W20" s="19">
        <f>'6M Pricing'!I20*100</f>
        <v>0.17499999999989474</v>
      </c>
      <c r="X20" s="19">
        <f t="shared" si="5"/>
        <v>0.17499999999989474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4" t="s">
        <v>33</v>
      </c>
      <c r="B21" s="24" t="s">
        <v>117</v>
      </c>
      <c r="C21" s="24" t="s">
        <v>117</v>
      </c>
      <c r="D21" s="24" t="str">
        <f>IF(Contribute="abcd",IF($G$2&lt;&gt;-1,_xll.RtContribute(SourceAlias,V21,Fields,W21:X21,"SCOPE:SERVER"),_xll.RtContribute(SourceAlias,"DDS_INSERT_S",$G$2:$I$2,V21:X21,"SCOPE:SERVER FTC:ALL")),"stopped")</f>
        <v>stopped</v>
      </c>
      <c r="E21" s="2" t="s">
        <v>117</v>
      </c>
      <c r="F21" s="19"/>
      <c r="G21" s="19"/>
      <c r="H21" s="19"/>
      <c r="I21" s="19"/>
      <c r="J21" s="19">
        <f>ABS(_xll.RtGet(SourceAlias,$V21,BID)-W21)</f>
        <v>2.1155299734232358E-13</v>
      </c>
      <c r="K21" s="19">
        <f>ABS(_xll.RtGet(SourceAlias,$V21,ASK)-X21)</f>
        <v>2.1155299734232358E-13</v>
      </c>
      <c r="L21" s="66" t="s">
        <v>117</v>
      </c>
      <c r="M21" s="24"/>
      <c r="N21" s="18"/>
      <c r="O21" s="19"/>
      <c r="P21" s="19"/>
      <c r="Q21" s="24"/>
      <c r="R21" s="18"/>
      <c r="S21" s="19"/>
      <c r="T21" s="19"/>
      <c r="U21" s="24" t="s">
        <v>107</v>
      </c>
      <c r="V21" s="18" t="str">
        <f t="shared" si="2"/>
        <v>JPY6M4x10F=</v>
      </c>
      <c r="W21" s="19">
        <f>'6M Pricing'!I21*100</f>
        <v>0.17499999999978844</v>
      </c>
      <c r="X21" s="19">
        <f t="shared" si="5"/>
        <v>0.17499999999978844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4" t="s">
        <v>34</v>
      </c>
      <c r="B22" s="24" t="s">
        <v>117</v>
      </c>
      <c r="C22" s="24" t="s">
        <v>117</v>
      </c>
      <c r="D22" s="24" t="str">
        <f>IF(Contribute="abcd",IF($G$2&lt;&gt;-1,_xll.RtContribute(SourceAlias,V22,Fields,W22:X22,"SCOPE:SERVER"),_xll.RtContribute(SourceAlias,"DDS_INSERT_S",$G$2:$I$2,V22:X22,"SCOPE:SERVER FTC:ALL")),"stopped")</f>
        <v>stopped</v>
      </c>
      <c r="E22" s="2" t="s">
        <v>117</v>
      </c>
      <c r="F22" s="19"/>
      <c r="G22" s="19"/>
      <c r="H22" s="19"/>
      <c r="I22" s="19"/>
      <c r="J22" s="19">
        <f>ABS(_xll.RtGet(SourceAlias,$V22,BID)-W22)</f>
        <v>8.5192963794611387E-13</v>
      </c>
      <c r="K22" s="19">
        <f>ABS(_xll.RtGet(SourceAlias,$V22,ASK)-X22)</f>
        <v>8.5192963794611387E-13</v>
      </c>
      <c r="L22" s="66" t="s">
        <v>117</v>
      </c>
      <c r="M22" s="24"/>
      <c r="N22" s="18"/>
      <c r="O22" s="19"/>
      <c r="P22" s="19"/>
      <c r="Q22" s="24"/>
      <c r="R22" s="18"/>
      <c r="S22" s="19"/>
      <c r="T22" s="19"/>
      <c r="U22" s="24" t="s">
        <v>108</v>
      </c>
      <c r="V22" s="18" t="str">
        <f t="shared" si="2"/>
        <v>JPY6M5x11F=</v>
      </c>
      <c r="W22" s="19">
        <f>'6M Pricing'!I22*100</f>
        <v>0.17499999999914806</v>
      </c>
      <c r="X22" s="19">
        <f t="shared" si="5"/>
        <v>0.17499999999914806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4" t="s">
        <v>35</v>
      </c>
      <c r="B23" s="24" t="str">
        <f>IF(Contribute="abcd",IF($G$2&lt;&gt;-1,_xll.RtContribute(SourceAlias,N23,Fields,O23:P23,"SCOPE:SERVER"),_xll.RtContribute(SourceAlias,"DDS_INSERT_S",$G$2:$I$2,O23:P23,"SCOPE:SERVER FTC:ALL")),"stopped")</f>
        <v>stopped</v>
      </c>
      <c r="C23" s="24" t="str">
        <f>IF(Contribute="abcd",IF($G$2&lt;&gt;-1,_xll.RtContribute(SourceAlias,R23,Fields,S23:T23,"SCOPE:SERVER"),_xll.RtContribute(SourceAlias,"DDS_INSERT_S",$G$2:$I$2,R23:T23,"SCOPE:SERVER FTC:ALL")),"stopped")</f>
        <v>stopped</v>
      </c>
      <c r="D23" s="24" t="str">
        <f>IF(Contribute="abcd",IF($G$2&lt;&gt;-1,_xll.RtContribute(SourceAlias,V23,Fields,W23:X23,"SCOPE:SERVER"),_xll.RtContribute(SourceAlias,"DDS_INSERT_S",$G$2:$I$2,V23:X23,"SCOPE:SERVER FTC:ALL")),"stopped")</f>
        <v>stopped</v>
      </c>
      <c r="E23" s="2" t="s">
        <v>117</v>
      </c>
      <c r="F23" s="19">
        <f>ABS(_xll.RtGet(SourceAlias,$N23,BID)-O23)</f>
        <v>2.1222550106170246E-10</v>
      </c>
      <c r="G23" s="19">
        <f>ABS(_xll.RtGet(SourceAlias,$N23,ASK)-P23)</f>
        <v>2.1222550106170246E-10</v>
      </c>
      <c r="H23" s="19">
        <f>ABS(_xll.RtGet(SourceAlias,$R23,BID)-S23)</f>
        <v>1.5483087034695586E-11</v>
      </c>
      <c r="I23" s="19">
        <f>ABS(_xll.RtGet(SourceAlias,$R23,ASK)-T23)</f>
        <v>1.5483087034695586E-11</v>
      </c>
      <c r="J23" s="19">
        <f>ABS(_xll.RtGet(SourceAlias,$V23,BID)-W23)</f>
        <v>5.0437432008720862E-13</v>
      </c>
      <c r="K23" s="19">
        <f>ABS(_xll.RtGet(SourceAlias,$V23,ASK)-X23)</f>
        <v>5.0437432008720862E-13</v>
      </c>
      <c r="L23" s="66" t="s">
        <v>117</v>
      </c>
      <c r="M23" s="24" t="s">
        <v>71</v>
      </c>
      <c r="N23" s="18" t="str">
        <f>Currency&amp;"ON"&amp;M23&amp;"="</f>
        <v>JPYON1YD=</v>
      </c>
      <c r="O23" s="19">
        <f>'ON Pricing'!I23*100</f>
        <v>5.6712328787774498E-2</v>
      </c>
      <c r="P23" s="19">
        <f t="shared" si="3"/>
        <v>5.6712328787774498E-2</v>
      </c>
      <c r="Q23" s="24" t="s">
        <v>109</v>
      </c>
      <c r="R23" s="18" t="str">
        <f t="shared" ref="R23:R39" si="6">Currency&amp;"3M"&amp;Q23&amp;"="</f>
        <v>JPY3M9x12F=</v>
      </c>
      <c r="S23" s="19">
        <f>'3M Pricing'!I23*100</f>
        <v>0.12999999998451692</v>
      </c>
      <c r="T23" s="19">
        <f t="shared" si="4"/>
        <v>0.12999999998451692</v>
      </c>
      <c r="U23" s="24" t="s">
        <v>110</v>
      </c>
      <c r="V23" s="18" t="str">
        <f t="shared" si="2"/>
        <v>JPY6M6x12F=</v>
      </c>
      <c r="W23" s="19">
        <f>'6M Pricing'!I23*100</f>
        <v>0.17499999999949561</v>
      </c>
      <c r="X23" s="19">
        <f t="shared" si="5"/>
        <v>0.17499999999949561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4" t="s">
        <v>113</v>
      </c>
      <c r="B24" s="24" t="s">
        <v>117</v>
      </c>
      <c r="C24" s="24" t="str">
        <f>IF(Contribute="abcd",IF($G$2&lt;&gt;-1,_xll.RtContribute(SourceAlias,R24,Fields,S24:T24,"SCOPE:SERVER"),_xll.RtContribute(SourceAlias,"DDS_INSERT_S",$G$2:$I$2,R24:T24,"SCOPE:SERVER FTC:ALL")),"stopped")</f>
        <v>stopped</v>
      </c>
      <c r="D24" s="24" t="s">
        <v>117</v>
      </c>
      <c r="E24" s="2" t="s">
        <v>117</v>
      </c>
      <c r="F24" s="19"/>
      <c r="G24" s="19"/>
      <c r="H24" s="19">
        <f>ABS(_xll.RtGet(SourceAlias,$R24,BID)-S24)</f>
        <v>1.7152945730458669E-14</v>
      </c>
      <c r="I24" s="19">
        <f>ABS(_xll.RtGet(SourceAlias,$R24,ASK)-T24)</f>
        <v>1.7152945730458669E-14</v>
      </c>
      <c r="J24" s="19"/>
      <c r="K24" s="19"/>
      <c r="L24" s="66" t="s">
        <v>117</v>
      </c>
      <c r="M24" s="24"/>
      <c r="N24" s="18"/>
      <c r="O24" s="19"/>
      <c r="P24" s="19"/>
      <c r="Q24" s="24" t="s">
        <v>111</v>
      </c>
      <c r="R24" s="18" t="str">
        <f t="shared" si="6"/>
        <v>JPY3M12x15F=</v>
      </c>
      <c r="S24" s="19">
        <f>'3M Pricing'!I24*100</f>
        <v>0.13000000000001716</v>
      </c>
      <c r="T24" s="19">
        <f t="shared" si="4"/>
        <v>0.13000000000001716</v>
      </c>
      <c r="U24" s="24"/>
      <c r="V24" s="18"/>
      <c r="W24" s="19"/>
      <c r="X24" s="19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4" t="s">
        <v>112</v>
      </c>
      <c r="B25" s="24" t="str">
        <f>IF(Contribute="abcd",IF($G$2&lt;&gt;-1,_xll.RtContribute(SourceAlias,N25,Fields,O25:P25,"SCOPE:SERVER"),_xll.RtContribute(SourceAlias,"DDS_INSERT_S",$G$2:$I$2,O25:P25,"SCOPE:SERVER FTC:ALL")),"stopped")</f>
        <v>stopped</v>
      </c>
      <c r="C25" s="24" t="str">
        <f>IF(Contribute="abcd",IF($G$2&lt;&gt;-1,_xll.RtContribute(SourceAlias,R25,Fields,S25:T25,"SCOPE:SERVER"),_xll.RtContribute(SourceAlias,"DDS_INSERT_S",$G$2:$I$2,R25:T25,"SCOPE:SERVER FTC:ALL")),"stopped")</f>
        <v>stopped</v>
      </c>
      <c r="D25" s="24" t="str">
        <f>IF(Contribute="abcd",IF($G$2&lt;&gt;-1,_xll.RtContribute(SourceAlias,V25,Fields,W25:X25,"SCOPE:SERVER"),_xll.RtContribute(SourceAlias,"DDS_INSERT_S",$G$2:$I$2,V25:X25,"SCOPE:SERVER FTC:ALL")),"stopped")</f>
        <v>stopped</v>
      </c>
      <c r="E25" s="2" t="s">
        <v>117</v>
      </c>
      <c r="F25" s="19">
        <f>ABS(_xll.RtGet(SourceAlias,$N25,BID)-O25)</f>
        <v>2.1909612318848914E-10</v>
      </c>
      <c r="G25" s="19">
        <f>ABS(_xll.RtGet(SourceAlias,$N25,ASK)-P25)</f>
        <v>2.1909612318848914E-10</v>
      </c>
      <c r="H25" s="19">
        <f>ABS(_xll.RtGet(SourceAlias,$R25,BID)-S25)</f>
        <v>4.2217002116373692E-10</v>
      </c>
      <c r="I25" s="19">
        <f>ABS(_xll.RtGet(SourceAlias,$R25,ASK)-T25)</f>
        <v>4.2217002116373692E-10</v>
      </c>
      <c r="J25" s="19">
        <f>ABS(_xll.RtGet(SourceAlias,$V25,BID)-W25)</f>
        <v>4.6074255521943996E-15</v>
      </c>
      <c r="K25" s="19">
        <f>ABS(_xll.RtGet(SourceAlias,$V25,ASK)-X25)</f>
        <v>4.6074255521943996E-15</v>
      </c>
      <c r="L25" s="66" t="s">
        <v>117</v>
      </c>
      <c r="M25" s="24" t="s">
        <v>116</v>
      </c>
      <c r="N25" s="18" t="str">
        <f t="shared" ref="N25:N39" si="7">Currency&amp;"ON"&amp;M25&amp;"="</f>
        <v>JPYON1Y6MD=</v>
      </c>
      <c r="O25" s="19">
        <f>'ON Pricing'!I25*100</f>
        <v>5.6712328780903876E-2</v>
      </c>
      <c r="P25" s="19">
        <f t="shared" si="3"/>
        <v>5.6712328780903876E-2</v>
      </c>
      <c r="Q25" s="24" t="s">
        <v>112</v>
      </c>
      <c r="R25" s="18" t="str">
        <f t="shared" si="6"/>
        <v>JPY3M18M=</v>
      </c>
      <c r="S25" s="19">
        <f>'3M Pricing'!I25*100</f>
        <v>0.13226530457782998</v>
      </c>
      <c r="T25" s="19">
        <f t="shared" si="4"/>
        <v>0.13226530457782998</v>
      </c>
      <c r="U25" s="24" t="s">
        <v>112</v>
      </c>
      <c r="V25" s="18" t="str">
        <f t="shared" ref="V25:V39" si="8">Currency&amp;"6M"&amp;U25&amp;"="</f>
        <v>JPY6M18M=</v>
      </c>
      <c r="W25" s="19">
        <f>'6M Pricing'!I25*100</f>
        <v>0.1775000000000046</v>
      </c>
      <c r="X25" s="19">
        <f t="shared" si="5"/>
        <v>0.1775000000000046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4" t="s">
        <v>36</v>
      </c>
      <c r="B26" s="24" t="str">
        <f>IF(Contribute="abcd",IF($G$2&lt;&gt;-1,_xll.RtContribute(SourceAlias,N26,Fields,O26:P26,"SCOPE:SERVER"),_xll.RtContribute(SourceAlias,"DDS_INSERT_S",$G$2:$I$2,O26:P26,"SCOPE:SERVER FTC:ALL")),"stopped")</f>
        <v>stopped</v>
      </c>
      <c r="C26" s="24" t="str">
        <f>IF(Contribute="abcd",IF($G$2&lt;&gt;-1,_xll.RtContribute(SourceAlias,R26,Fields,S26:T26,"SCOPE:SERVER"),_xll.RtContribute(SourceAlias,"DDS_INSERT_S",$G$2:$I$2,R26:T26,"SCOPE:SERVER FTC:ALL")),"stopped")</f>
        <v>stopped</v>
      </c>
      <c r="D26" s="24" t="str">
        <f>IF(Contribute="abcd",IF($G$2&lt;&gt;-1,_xll.RtContribute(SourceAlias,V26,Fields,W26:X26,"SCOPE:SERVER"),_xll.RtContribute(SourceAlias,"DDS_INSERT_S",$G$2:$I$2,V26:X26,"SCOPE:SERVER FTC:ALL")),"stopped")</f>
        <v>stopped</v>
      </c>
      <c r="E26" s="2" t="s">
        <v>117</v>
      </c>
      <c r="F26" s="19">
        <f>ABS(_xll.RtGet(SourceAlias,$N26,BID)-O26)</f>
        <v>2.2255691040085068E-10</v>
      </c>
      <c r="G26" s="19">
        <f>ABS(_xll.RtGet(SourceAlias,$N26,ASK)-P26)</f>
        <v>2.2255691040085068E-10</v>
      </c>
      <c r="H26" s="19">
        <f>ABS(_xll.RtGet(SourceAlias,$R26,BID)-S26)</f>
        <v>2.6593796609297726E-10</v>
      </c>
      <c r="I26" s="19">
        <f>ABS(_xll.RtGet(SourceAlias,$R26,ASK)-T26)</f>
        <v>2.6593796609297726E-10</v>
      </c>
      <c r="J26" s="19">
        <f>ABS(_xll.RtGet(SourceAlias,$V26,BID)-W26)</f>
        <v>4.2188474935755949E-15</v>
      </c>
      <c r="K26" s="19">
        <f>ABS(_xll.RtGet(SourceAlias,$V26,ASK)-X26)</f>
        <v>4.2188474935755949E-15</v>
      </c>
      <c r="L26" s="66" t="s">
        <v>117</v>
      </c>
      <c r="M26" s="24" t="s">
        <v>72</v>
      </c>
      <c r="N26" s="18" t="str">
        <f t="shared" si="7"/>
        <v>JPYON2YD=</v>
      </c>
      <c r="O26" s="19">
        <f>'ON Pricing'!I26*100</f>
        <v>5.6712328777443088E-2</v>
      </c>
      <c r="P26" s="19">
        <f t="shared" si="3"/>
        <v>5.6712328777443088E-2</v>
      </c>
      <c r="Q26" s="24" t="s">
        <v>36</v>
      </c>
      <c r="R26" s="18" t="str">
        <f t="shared" si="6"/>
        <v>JPY3M2Y=</v>
      </c>
      <c r="S26" s="19">
        <f>'3M Pricing'!I26*100</f>
        <v>0.13183680926593797</v>
      </c>
      <c r="T26" s="19">
        <f t="shared" si="4"/>
        <v>0.13183680926593797</v>
      </c>
      <c r="U26" s="24" t="s">
        <v>36</v>
      </c>
      <c r="V26" s="18" t="str">
        <f t="shared" si="8"/>
        <v>JPY6M2Y=</v>
      </c>
      <c r="W26" s="19">
        <f>'6M Pricing'!I26*100</f>
        <v>0.18000000000000421</v>
      </c>
      <c r="X26" s="19">
        <f t="shared" si="5"/>
        <v>0.18000000000000421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4" t="s">
        <v>37</v>
      </c>
      <c r="B27" s="24" t="str">
        <f>IF(Contribute="abcd",IF($G$2&lt;&gt;-1,_xll.RtContribute(SourceAlias,N27,Fields,O27:P27,"SCOPE:SERVER"),_xll.RtContribute(SourceAlias,"DDS_INSERT_S",$G$2:$I$2,O27:P27,"SCOPE:SERVER FTC:ALL")),"stopped")</f>
        <v>stopped</v>
      </c>
      <c r="C27" s="24" t="str">
        <f>IF(Contribute="abcd",IF($G$2&lt;&gt;-1,_xll.RtContribute(SourceAlias,R27,Fields,S27:T27,"SCOPE:SERVER"),_xll.RtContribute(SourceAlias,"DDS_INSERT_S",$G$2:$I$2,R27:T27,"SCOPE:SERVER FTC:ALL")),"stopped")</f>
        <v>stopped</v>
      </c>
      <c r="D27" s="24" t="str">
        <f>IF(Contribute="abcd",IF($G$2&lt;&gt;-1,_xll.RtContribute(SourceAlias,V27,Fields,W27:X27,"SCOPE:SERVER"),_xll.RtContribute(SourceAlias,"DDS_INSERT_S",$G$2:$I$2,V27:X27,"SCOPE:SERVER FTC:ALL")),"stopped")</f>
        <v>stopped</v>
      </c>
      <c r="E27" s="2" t="s">
        <v>117</v>
      </c>
      <c r="F27" s="19">
        <f>ABS(_xll.RtGet(SourceAlias,$N27,BID)-O27)</f>
        <v>3.7668120012046558E-10</v>
      </c>
      <c r="G27" s="19">
        <f>ABS(_xll.RtGet(SourceAlias,$N27,ASK)-P27)</f>
        <v>3.7668120012046558E-10</v>
      </c>
      <c r="H27" s="19">
        <f>ABS(_xll.RtGet(SourceAlias,$R27,BID)-S27)</f>
        <v>8.4383611209659648E-12</v>
      </c>
      <c r="I27" s="19">
        <f>ABS(_xll.RtGet(SourceAlias,$R27,ASK)-T27)</f>
        <v>8.4383611209659648E-12</v>
      </c>
      <c r="J27" s="19">
        <f>ABS(_xll.RtGet(SourceAlias,$V27,BID)-W27)</f>
        <v>1.1269180033579573E-11</v>
      </c>
      <c r="K27" s="19">
        <f>ABS(_xll.RtGet(SourceAlias,$V27,ASK)-X27)</f>
        <v>1.1269180033579573E-11</v>
      </c>
      <c r="L27" s="66" t="s">
        <v>117</v>
      </c>
      <c r="M27" s="24" t="s">
        <v>73</v>
      </c>
      <c r="N27" s="18" t="str">
        <f t="shared" si="7"/>
        <v>JPYON3YD=</v>
      </c>
      <c r="O27" s="19">
        <f>'ON Pricing'!I27*100</f>
        <v>6.16438356233188E-2</v>
      </c>
      <c r="P27" s="19">
        <f t="shared" si="3"/>
        <v>6.16438356233188E-2</v>
      </c>
      <c r="Q27" s="24" t="s">
        <v>37</v>
      </c>
      <c r="R27" s="18" t="str">
        <f t="shared" si="6"/>
        <v>JPY3M3Y=</v>
      </c>
      <c r="S27" s="19">
        <f>'3M Pricing'!I27*100</f>
        <v>0.13926656100843837</v>
      </c>
      <c r="T27" s="19">
        <f t="shared" si="4"/>
        <v>0.13926656100843837</v>
      </c>
      <c r="U27" s="24" t="s">
        <v>37</v>
      </c>
      <c r="V27" s="18" t="str">
        <f t="shared" si="8"/>
        <v>JPY6M3Y=</v>
      </c>
      <c r="W27" s="19">
        <f>'6M Pricing'!I27*100</f>
        <v>0.19249999998873082</v>
      </c>
      <c r="X27" s="19">
        <f t="shared" si="5"/>
        <v>0.19249999998873082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4" t="s">
        <v>38</v>
      </c>
      <c r="B28" s="24" t="str">
        <f>IF(Contribute="abcd",IF($G$2&lt;&gt;-1,_xll.RtContribute(SourceAlias,N28,Fields,O28:P28,"SCOPE:SERVER"),_xll.RtContribute(SourceAlias,"DDS_INSERT_S",$G$2:$I$2,O28:P28,"SCOPE:SERVER FTC:ALL")),"stopped")</f>
        <v>stopped</v>
      </c>
      <c r="C28" s="24" t="str">
        <f>IF(Contribute="abcd",IF($G$2&lt;&gt;-1,_xll.RtContribute(SourceAlias,R28,Fields,S28:T28,"SCOPE:SERVER"),_xll.RtContribute(SourceAlias,"DDS_INSERT_S",$G$2:$I$2,R28:T28,"SCOPE:SERVER FTC:ALL")),"stopped")</f>
        <v>stopped</v>
      </c>
      <c r="D28" s="24" t="str">
        <f>IF(Contribute="abcd",IF($G$2&lt;&gt;-1,_xll.RtContribute(SourceAlias,V28,Fields,W28:X28,"SCOPE:SERVER"),_xll.RtContribute(SourceAlias,"DDS_INSERT_S",$G$2:$I$2,V28:X28,"SCOPE:SERVER FTC:ALL")),"stopped")</f>
        <v>stopped</v>
      </c>
      <c r="E28" s="2" t="s">
        <v>117</v>
      </c>
      <c r="F28" s="19">
        <f>ABS(_xll.RtGet(SourceAlias,$N28,BID)-O28)</f>
        <v>1.8858678507704951E-11</v>
      </c>
      <c r="G28" s="19">
        <f>ABS(_xll.RtGet(SourceAlias,$N28,ASK)-P28)</f>
        <v>1.8858678507704951E-11</v>
      </c>
      <c r="H28" s="19">
        <f>ABS(_xll.RtGet(SourceAlias,$R28,BID)-S28)</f>
        <v>1.4958956295885173E-10</v>
      </c>
      <c r="I28" s="19">
        <f>ABS(_xll.RtGet(SourceAlias,$R28,ASK)-T28)</f>
        <v>1.4958956295885173E-10</v>
      </c>
      <c r="J28" s="19">
        <f>ABS(_xll.RtGet(SourceAlias,$V28,BID)-W28)</f>
        <v>1.0019762797242038E-14</v>
      </c>
      <c r="K28" s="19">
        <f>ABS(_xll.RtGet(SourceAlias,$V28,ASK)-X28)</f>
        <v>1.0019762797242038E-14</v>
      </c>
      <c r="L28" s="66" t="s">
        <v>117</v>
      </c>
      <c r="M28" s="24" t="s">
        <v>74</v>
      </c>
      <c r="N28" s="18" t="str">
        <f t="shared" si="7"/>
        <v>JPYON4YD=</v>
      </c>
      <c r="O28" s="19">
        <f>'ON Pricing'!I28*100</f>
        <v>8.1369863018858679E-2</v>
      </c>
      <c r="P28" s="19">
        <f t="shared" si="3"/>
        <v>8.1369863018858679E-2</v>
      </c>
      <c r="Q28" s="24" t="s">
        <v>38</v>
      </c>
      <c r="R28" s="18" t="str">
        <f t="shared" si="6"/>
        <v>JPY3M4Y=</v>
      </c>
      <c r="S28" s="19">
        <f>'3M Pricing'!I28*100</f>
        <v>0.16423003085041044</v>
      </c>
      <c r="T28" s="19">
        <f t="shared" si="4"/>
        <v>0.16423003085041044</v>
      </c>
      <c r="U28" s="24" t="s">
        <v>38</v>
      </c>
      <c r="V28" s="18" t="str">
        <f t="shared" si="8"/>
        <v>JPY6M4Y=</v>
      </c>
      <c r="W28" s="19">
        <f>'6M Pricing'!I28*100</f>
        <v>0.21999999999998998</v>
      </c>
      <c r="X28" s="19">
        <f t="shared" si="5"/>
        <v>0.21999999999998998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4" t="s">
        <v>39</v>
      </c>
      <c r="B29" s="24" t="str">
        <f>IF(Contribute="abcd",IF($G$2&lt;&gt;-1,_xll.RtContribute(SourceAlias,N29,Fields,O29:P29,"SCOPE:SERVER"),_xll.RtContribute(SourceAlias,"DDS_INSERT_S",$G$2:$I$2,O29:P29,"SCOPE:SERVER FTC:ALL")),"stopped")</f>
        <v>stopped</v>
      </c>
      <c r="C29" s="24" t="str">
        <f>IF(Contribute="abcd",IF($G$2&lt;&gt;-1,_xll.RtContribute(SourceAlias,R29,Fields,S29:T29,"SCOPE:SERVER"),_xll.RtContribute(SourceAlias,"DDS_INSERT_S",$G$2:$I$2,R29:T29,"SCOPE:SERVER FTC:ALL")),"stopped")</f>
        <v>stopped</v>
      </c>
      <c r="D29" s="24" t="str">
        <f>IF(Contribute="abcd",IF($G$2&lt;&gt;-1,_xll.RtContribute(SourceAlias,V29,Fields,W29:X29,"SCOPE:SERVER"),_xll.RtContribute(SourceAlias,"DDS_INSERT_S",$G$2:$I$2,V29:X29,"SCOPE:SERVER FTC:ALL")),"stopped")</f>
        <v>stopped</v>
      </c>
      <c r="E29" s="2" t="s">
        <v>117</v>
      </c>
      <c r="F29" s="19">
        <f>ABS(_xll.RtGet(SourceAlias,$N29,BID)-O29)</f>
        <v>3.6959921234647197E-11</v>
      </c>
      <c r="G29" s="19">
        <f>ABS(_xll.RtGet(SourceAlias,$N29,ASK)-P29)</f>
        <v>3.6959921234647197E-11</v>
      </c>
      <c r="H29" s="19">
        <f>ABS(_xll.RtGet(SourceAlias,$R29,BID)-S29)</f>
        <v>3.7518363416033651E-10</v>
      </c>
      <c r="I29" s="19">
        <f>ABS(_xll.RtGet(SourceAlias,$R29,ASK)-T29)</f>
        <v>3.7518363416033651E-10</v>
      </c>
      <c r="J29" s="19">
        <f>ABS(_xll.RtGet(SourceAlias,$V29,BID)-W29)</f>
        <v>1.6964207816272392E-13</v>
      </c>
      <c r="K29" s="19">
        <f>ABS(_xll.RtGet(SourceAlias,$V29,ASK)-X29)</f>
        <v>1.6964207816272392E-13</v>
      </c>
      <c r="L29" s="66" t="s">
        <v>117</v>
      </c>
      <c r="M29" s="24" t="s">
        <v>75</v>
      </c>
      <c r="N29" s="18" t="str">
        <f t="shared" si="7"/>
        <v>JPYON5YD=</v>
      </c>
      <c r="O29" s="19">
        <f>'ON Pricing'!I29*100</f>
        <v>0.11589041096304008</v>
      </c>
      <c r="P29" s="19">
        <f t="shared" si="3"/>
        <v>0.11589041096304008</v>
      </c>
      <c r="Q29" s="24" t="s">
        <v>39</v>
      </c>
      <c r="R29" s="18" t="str">
        <f t="shared" si="6"/>
        <v>JPY3M5Y=</v>
      </c>
      <c r="S29" s="19">
        <f>'3M Pricing'!I29*100</f>
        <v>0.20165722762481636</v>
      </c>
      <c r="T29" s="19">
        <f t="shared" si="4"/>
        <v>0.20165722762481636</v>
      </c>
      <c r="U29" s="24" t="s">
        <v>39</v>
      </c>
      <c r="V29" s="18" t="str">
        <f t="shared" si="8"/>
        <v>JPY6M5Y=</v>
      </c>
      <c r="W29" s="19">
        <f>'6M Pricing'!I29*100</f>
        <v>0.26250000000016965</v>
      </c>
      <c r="X29" s="19">
        <f t="shared" si="5"/>
        <v>0.26250000000016965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4" t="s">
        <v>40</v>
      </c>
      <c r="B30" s="24" t="str">
        <f>IF(Contribute="abcd",IF($G$2&lt;&gt;-1,_xll.RtContribute(SourceAlias,N30,Fields,O30:P30,"SCOPE:SERVER"),_xll.RtContribute(SourceAlias,"DDS_INSERT_S",$G$2:$I$2,O30:P30,"SCOPE:SERVER FTC:ALL")),"stopped")</f>
        <v>stopped</v>
      </c>
      <c r="C30" s="24" t="str">
        <f>IF(Contribute="abcd",IF($G$2&lt;&gt;-1,_xll.RtContribute(SourceAlias,R30,Fields,S30:T30,"SCOPE:SERVER"),_xll.RtContribute(SourceAlias,"DDS_INSERT_S",$G$2:$I$2,R30:T30,"SCOPE:SERVER FTC:ALL")),"stopped")</f>
        <v>stopped</v>
      </c>
      <c r="D30" s="24" t="str">
        <f>IF(Contribute="abcd",IF($G$2&lt;&gt;-1,_xll.RtContribute(SourceAlias,V30,Fields,W30:X30,"SCOPE:SERVER"),_xll.RtContribute(SourceAlias,"DDS_INSERT_S",$G$2:$I$2,V30:X30,"SCOPE:SERVER FTC:ALL")),"stopped")</f>
        <v>stopped</v>
      </c>
      <c r="E30" s="2" t="s">
        <v>117</v>
      </c>
      <c r="F30" s="19">
        <f>ABS(_xll.RtGet(SourceAlias,$N30,BID)-O30)</f>
        <v>1.8153029079925886E-10</v>
      </c>
      <c r="G30" s="19">
        <f>ABS(_xll.RtGet(SourceAlias,$N30,ASK)-P30)</f>
        <v>1.8153029079925886E-10</v>
      </c>
      <c r="H30" s="19">
        <f>ABS(_xll.RtGet(SourceAlias,$R30,BID)-S30)</f>
        <v>1.9702345310790292E-10</v>
      </c>
      <c r="I30" s="19">
        <f>ABS(_xll.RtGet(SourceAlias,$R30,ASK)-T30)</f>
        <v>1.9702345310790292E-10</v>
      </c>
      <c r="J30" s="19">
        <f>ABS(_xll.RtGet(SourceAlias,$V30,BID)-W30)</f>
        <v>8.2156503822261584E-14</v>
      </c>
      <c r="K30" s="19">
        <f>ABS(_xll.RtGet(SourceAlias,$V30,ASK)-X30)</f>
        <v>8.2156503822261584E-14</v>
      </c>
      <c r="L30" s="66" t="s">
        <v>117</v>
      </c>
      <c r="M30" s="24" t="s">
        <v>76</v>
      </c>
      <c r="N30" s="18" t="str">
        <f t="shared" si="7"/>
        <v>JPYON6YD=</v>
      </c>
      <c r="O30" s="19">
        <f>'ON Pricing'!I30*100</f>
        <v>0.15780821918153029</v>
      </c>
      <c r="P30" s="19">
        <f t="shared" si="3"/>
        <v>0.15780821918153029</v>
      </c>
      <c r="Q30" s="24" t="s">
        <v>40</v>
      </c>
      <c r="R30" s="18" t="str">
        <f t="shared" si="6"/>
        <v>JPY3M6Y=</v>
      </c>
      <c r="S30" s="19">
        <f>'3M Pricing'!I30*100</f>
        <v>0.25154811980297653</v>
      </c>
      <c r="T30" s="19">
        <f t="shared" si="4"/>
        <v>0.25154811980297653</v>
      </c>
      <c r="U30" s="24" t="s">
        <v>40</v>
      </c>
      <c r="V30" s="18" t="str">
        <f t="shared" si="8"/>
        <v>JPY6M6Y=</v>
      </c>
      <c r="W30" s="19">
        <f>'6M Pricing'!I30*100</f>
        <v>0.31999999999991785</v>
      </c>
      <c r="X30" s="19">
        <f t="shared" si="5"/>
        <v>0.31999999999991785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4" t="s">
        <v>41</v>
      </c>
      <c r="B31" s="24" t="str">
        <f>IF(Contribute="abcd",IF($G$2&lt;&gt;-1,_xll.RtContribute(SourceAlias,N31,Fields,O31:P31,"SCOPE:SERVER"),_xll.RtContribute(SourceAlias,"DDS_INSERT_S",$G$2:$I$2,O31:P31,"SCOPE:SERVER FTC:ALL")),"stopped")</f>
        <v>stopped</v>
      </c>
      <c r="C31" s="24" t="str">
        <f>IF(Contribute="abcd",IF($G$2&lt;&gt;-1,_xll.RtContribute(SourceAlias,R31,Fields,S31:T31,"SCOPE:SERVER"),_xll.RtContribute(SourceAlias,"DDS_INSERT_S",$G$2:$I$2,R31:T31,"SCOPE:SERVER FTC:ALL")),"stopped")</f>
        <v>stopped</v>
      </c>
      <c r="D31" s="24" t="str">
        <f>IF(Contribute="abcd",IF($G$2&lt;&gt;-1,_xll.RtContribute(SourceAlias,V31,Fields,W31:X31,"SCOPE:SERVER"),_xll.RtContribute(SourceAlias,"DDS_INSERT_S",$G$2:$I$2,V31:X31,"SCOPE:SERVER FTC:ALL")),"stopped")</f>
        <v>stopped</v>
      </c>
      <c r="E31" s="2" t="s">
        <v>117</v>
      </c>
      <c r="F31" s="19">
        <f>ABS(_xll.RtGet(SourceAlias,$N31,BID)-O31)</f>
        <v>3.2579913766817015E-10</v>
      </c>
      <c r="G31" s="19">
        <f>ABS(_xll.RtGet(SourceAlias,$N31,ASK)-P31)</f>
        <v>3.2579913766817015E-10</v>
      </c>
      <c r="H31" s="19">
        <f>ABS(_xll.RtGet(SourceAlias,$R31,BID)-S31)</f>
        <v>9.4058261179696956E-11</v>
      </c>
      <c r="I31" s="19">
        <f>ABS(_xll.RtGet(SourceAlias,$R31,ASK)-T31)</f>
        <v>9.4058261179696956E-11</v>
      </c>
      <c r="J31" s="19">
        <f>ABS(_xll.RtGet(SourceAlias,$V31,BID)-W31)</f>
        <v>1.9434454046063365E-12</v>
      </c>
      <c r="K31" s="19">
        <f>ABS(_xll.RtGet(SourceAlias,$V31,ASK)-X31)</f>
        <v>1.9434454046063365E-12</v>
      </c>
      <c r="L31" s="66" t="s">
        <v>117</v>
      </c>
      <c r="M31" s="24" t="s">
        <v>77</v>
      </c>
      <c r="N31" s="18" t="str">
        <f t="shared" si="7"/>
        <v>JPYON7YD=</v>
      </c>
      <c r="O31" s="19">
        <f>'ON Pricing'!I31*100</f>
        <v>0.20712328767420085</v>
      </c>
      <c r="P31" s="19">
        <f t="shared" si="3"/>
        <v>0.20712328767420085</v>
      </c>
      <c r="Q31" s="24" t="s">
        <v>41</v>
      </c>
      <c r="R31" s="18" t="str">
        <f t="shared" si="6"/>
        <v>JPY3M7Y=</v>
      </c>
      <c r="S31" s="19">
        <f>'3M Pricing'!I31*100</f>
        <v>0.31393748409405825</v>
      </c>
      <c r="T31" s="19">
        <f t="shared" si="4"/>
        <v>0.31393748409405825</v>
      </c>
      <c r="U31" s="24" t="s">
        <v>41</v>
      </c>
      <c r="V31" s="18" t="str">
        <f t="shared" si="8"/>
        <v>JPY6M7Y=</v>
      </c>
      <c r="W31" s="19">
        <f>'6M Pricing'!I31*100</f>
        <v>0.39000000000194346</v>
      </c>
      <c r="X31" s="19">
        <f t="shared" si="5"/>
        <v>0.39000000000194346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4" t="s">
        <v>42</v>
      </c>
      <c r="B32" s="24" t="str">
        <f>IF(Contribute="abcd",IF($G$2&lt;&gt;-1,_xll.RtContribute(SourceAlias,N32,Fields,O32:P32,"SCOPE:SERVER"),_xll.RtContribute(SourceAlias,"DDS_INSERT_S",$G$2:$I$2,O32:P32,"SCOPE:SERVER FTC:ALL")),"stopped")</f>
        <v>stopped</v>
      </c>
      <c r="C32" s="24" t="str">
        <f>IF(Contribute="abcd",IF($G$2&lt;&gt;-1,_xll.RtContribute(SourceAlias,R32,Fields,S32:T32,"SCOPE:SERVER"),_xll.RtContribute(SourceAlias,"DDS_INSERT_S",$G$2:$I$2,R32:T32,"SCOPE:SERVER FTC:ALL")),"stopped")</f>
        <v>stopped</v>
      </c>
      <c r="D32" s="24" t="str">
        <f>IF(Contribute="abcd",IF($G$2&lt;&gt;-1,_xll.RtContribute(SourceAlias,V32,Fields,W32:X32,"SCOPE:SERVER"),_xll.RtContribute(SourceAlias,"DDS_INSERT_S",$G$2:$I$2,V32:X32,"SCOPE:SERVER FTC:ALL")),"stopped")</f>
        <v>stopped</v>
      </c>
      <c r="E32" s="2" t="s">
        <v>117</v>
      </c>
      <c r="F32" s="19">
        <f>ABS(_xll.RtGet(SourceAlias,$N32,BID)-O32)</f>
        <v>1.6304180228132736E-11</v>
      </c>
      <c r="G32" s="19">
        <f>ABS(_xll.RtGet(SourceAlias,$N32,ASK)-P32)</f>
        <v>1.6304180228132736E-11</v>
      </c>
      <c r="H32" s="19">
        <f>ABS(_xll.RtGet(SourceAlias,$R32,BID)-S32)</f>
        <v>3.8386238632170944E-10</v>
      </c>
      <c r="I32" s="19">
        <f>ABS(_xll.RtGet(SourceAlias,$R32,ASK)-T32)</f>
        <v>3.8386238632170944E-10</v>
      </c>
      <c r="J32" s="19">
        <f>ABS(_xll.RtGet(SourceAlias,$V32,BID)-W32)</f>
        <v>1.6073253839010704E-12</v>
      </c>
      <c r="K32" s="19">
        <f>ABS(_xll.RtGet(SourceAlias,$V32,ASK)-X32)</f>
        <v>1.6073253839010704E-12</v>
      </c>
      <c r="L32" s="66" t="s">
        <v>117</v>
      </c>
      <c r="M32" s="24" t="s">
        <v>78</v>
      </c>
      <c r="N32" s="18" t="str">
        <f t="shared" si="7"/>
        <v>JPYON8YD=</v>
      </c>
      <c r="O32" s="19">
        <f>'ON Pricing'!I32*100</f>
        <v>0.26136986301630416</v>
      </c>
      <c r="P32" s="19">
        <f t="shared" si="3"/>
        <v>0.26136986301630416</v>
      </c>
      <c r="Q32" s="24" t="s">
        <v>42</v>
      </c>
      <c r="R32" s="18" t="str">
        <f t="shared" si="6"/>
        <v>JPY3M8Y=</v>
      </c>
      <c r="S32" s="19">
        <f>'3M Pricing'!I32*100</f>
        <v>0.38382535061613759</v>
      </c>
      <c r="T32" s="19">
        <f t="shared" si="4"/>
        <v>0.38382535061613759</v>
      </c>
      <c r="U32" s="24" t="s">
        <v>42</v>
      </c>
      <c r="V32" s="18" t="str">
        <f t="shared" si="8"/>
        <v>JPY6M8Y=</v>
      </c>
      <c r="W32" s="19">
        <f>'6M Pricing'!I32*100</f>
        <v>0.4674999999983927</v>
      </c>
      <c r="X32" s="19">
        <f t="shared" si="5"/>
        <v>0.4674999999983927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4" t="s">
        <v>43</v>
      </c>
      <c r="B33" s="24" t="str">
        <f>IF(Contribute="abcd",IF($G$2&lt;&gt;-1,_xll.RtContribute(SourceAlias,N33,Fields,O33:P33,"SCOPE:SERVER"),_xll.RtContribute(SourceAlias,"DDS_INSERT_S",$G$2:$I$2,O33:P33,"SCOPE:SERVER FTC:ALL")),"stopped")</f>
        <v>stopped</v>
      </c>
      <c r="C33" s="24" t="str">
        <f>IF(Contribute="abcd",IF($G$2&lt;&gt;-1,_xll.RtContribute(SourceAlias,R33,Fields,S33:T33,"SCOPE:SERVER"),_xll.RtContribute(SourceAlias,"DDS_INSERT_S",$G$2:$I$2,R33:T33,"SCOPE:SERVER FTC:ALL")),"stopped")</f>
        <v>stopped</v>
      </c>
      <c r="D33" s="24" t="str">
        <f>IF(Contribute="abcd",IF($G$2&lt;&gt;-1,_xll.RtContribute(SourceAlias,V33,Fields,W33:X33,"SCOPE:SERVER"),_xll.RtContribute(SourceAlias,"DDS_INSERT_S",$G$2:$I$2,V33:X33,"SCOPE:SERVER FTC:ALL")),"stopped")</f>
        <v>stopped</v>
      </c>
      <c r="E33" s="2" t="s">
        <v>117</v>
      </c>
      <c r="F33" s="19">
        <f>ABS(_xll.RtGet(SourceAlias,$N33,BID)-O33)</f>
        <v>3.6897285227155407E-10</v>
      </c>
      <c r="G33" s="19">
        <f>ABS(_xll.RtGet(SourceAlias,$N33,ASK)-P33)</f>
        <v>3.6897285227155407E-10</v>
      </c>
      <c r="H33" s="19">
        <f>ABS(_xll.RtGet(SourceAlias,$R33,BID)-S33)</f>
        <v>3.6361441635435199E-10</v>
      </c>
      <c r="I33" s="19">
        <f>ABS(_xll.RtGet(SourceAlias,$R33,ASK)-T33)</f>
        <v>3.6361441635435199E-10</v>
      </c>
      <c r="J33" s="19">
        <f>ABS(_xll.RtGet(SourceAlias,$V33,BID)-W33)</f>
        <v>8.4278140022320258E-12</v>
      </c>
      <c r="K33" s="19">
        <f>ABS(_xll.RtGet(SourceAlias,$V33,ASK)-X33)</f>
        <v>8.4278140022320258E-12</v>
      </c>
      <c r="L33" s="66" t="s">
        <v>117</v>
      </c>
      <c r="M33" s="24" t="s">
        <v>79</v>
      </c>
      <c r="N33" s="18" t="str">
        <f t="shared" si="7"/>
        <v>JPYON9YD=</v>
      </c>
      <c r="O33" s="19">
        <f>'ON Pricing'!I33*100</f>
        <v>0.32301369863102714</v>
      </c>
      <c r="P33" s="19">
        <f t="shared" si="3"/>
        <v>0.32301369863102714</v>
      </c>
      <c r="Q33" s="24" t="s">
        <v>43</v>
      </c>
      <c r="R33" s="18" t="str">
        <f t="shared" si="6"/>
        <v>JPY3M9Y=</v>
      </c>
      <c r="S33" s="19">
        <f>'3M Pricing'!I33*100</f>
        <v>0.4587113006363856</v>
      </c>
      <c r="T33" s="19">
        <f t="shared" si="4"/>
        <v>0.4587113006363856</v>
      </c>
      <c r="U33" s="24" t="s">
        <v>43</v>
      </c>
      <c r="V33" s="18" t="str">
        <f t="shared" si="8"/>
        <v>JPY6M9Y=</v>
      </c>
      <c r="W33" s="19">
        <f>'6M Pricing'!I33*100</f>
        <v>0.55000000000842786</v>
      </c>
      <c r="X33" s="19">
        <f t="shared" si="5"/>
        <v>0.55000000000842786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4" t="s">
        <v>44</v>
      </c>
      <c r="B34" s="24" t="str">
        <f>IF(Contribute="abcd",IF($G$2&lt;&gt;-1,_xll.RtContribute(SourceAlias,N34,Fields,O34:P34,"SCOPE:SERVER"),_xll.RtContribute(SourceAlias,"DDS_INSERT_S",$G$2:$I$2,O34:P34,"SCOPE:SERVER FTC:ALL")),"stopped")</f>
        <v>stopped</v>
      </c>
      <c r="C34" s="24" t="str">
        <f>IF(Contribute="abcd",IF($G$2&lt;&gt;-1,_xll.RtContribute(SourceAlias,R34,Fields,S34:T34,"SCOPE:SERVER"),_xll.RtContribute(SourceAlias,"DDS_INSERT_S",$G$2:$I$2,R34:T34,"SCOPE:SERVER FTC:ALL")),"stopped")</f>
        <v>stopped</v>
      </c>
      <c r="D34" s="24" t="str">
        <f>IF(Contribute="abcd",IF($G$2&lt;&gt;-1,_xll.RtContribute(SourceAlias,V34,Fields,W34:X34,"SCOPE:SERVER"),_xll.RtContribute(SourceAlias,"DDS_INSERT_S",$G$2:$I$2,V34:X34,"SCOPE:SERVER FTC:ALL")),"stopped")</f>
        <v>stopped</v>
      </c>
      <c r="E34" s="2" t="s">
        <v>117</v>
      </c>
      <c r="F34" s="19">
        <f>ABS(_xll.RtGet(SourceAlias,$N34,BID)-O34)</f>
        <v>1.0588568910563367E-10</v>
      </c>
      <c r="G34" s="19">
        <f>ABS(_xll.RtGet(SourceAlias,$N34,ASK)-P34)</f>
        <v>1.0588568910563367E-10</v>
      </c>
      <c r="H34" s="19">
        <f>ABS(_xll.RtGet(SourceAlias,$R34,BID)-S34)</f>
        <v>3.642915968882221E-10</v>
      </c>
      <c r="I34" s="19">
        <f>ABS(_xll.RtGet(SourceAlias,$R34,ASK)-T34)</f>
        <v>3.642915968882221E-10</v>
      </c>
      <c r="J34" s="19">
        <f>ABS(_xll.RtGet(SourceAlias,$V34,BID)-W34)</f>
        <v>1.5171530698410152E-11</v>
      </c>
      <c r="K34" s="19">
        <f>ABS(_xll.RtGet(SourceAlias,$V34,ASK)-X34)</f>
        <v>1.5171530698410152E-11</v>
      </c>
      <c r="L34" s="66" t="s">
        <v>117</v>
      </c>
      <c r="M34" s="24" t="s">
        <v>80</v>
      </c>
      <c r="N34" s="18" t="str">
        <f t="shared" si="7"/>
        <v>JPYON10YD=</v>
      </c>
      <c r="O34" s="19">
        <f>'ON Pricing'!I34*100</f>
        <v>0.38958904110588571</v>
      </c>
      <c r="P34" s="19">
        <f t="shared" si="3"/>
        <v>0.38958904110588571</v>
      </c>
      <c r="Q34" s="24" t="s">
        <v>44</v>
      </c>
      <c r="R34" s="18" t="str">
        <f t="shared" si="6"/>
        <v>JPY3M10Y=</v>
      </c>
      <c r="S34" s="19">
        <f>'3M Pricing'!I34*100</f>
        <v>0.53613141363570838</v>
      </c>
      <c r="T34" s="19">
        <f t="shared" si="4"/>
        <v>0.53613141363570838</v>
      </c>
      <c r="U34" s="24" t="s">
        <v>44</v>
      </c>
      <c r="V34" s="18" t="str">
        <f t="shared" si="8"/>
        <v>JPY6M10Y=</v>
      </c>
      <c r="W34" s="19">
        <f>'6M Pricing'!I34*100</f>
        <v>0.63249999998482842</v>
      </c>
      <c r="X34" s="19">
        <f t="shared" si="5"/>
        <v>0.63249999998482842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4" t="s">
        <v>45</v>
      </c>
      <c r="B35" s="24" t="str">
        <f>IF(Contribute="abcd",IF($G$2&lt;&gt;-1,_xll.RtContribute(SourceAlias,N35,Fields,O35:P35,"SCOPE:SERVER"),_xll.RtContribute(SourceAlias,"DDS_INSERT_S",$G$2:$I$2,O35:P35,"SCOPE:SERVER FTC:ALL")),"stopped")</f>
        <v>stopped</v>
      </c>
      <c r="C35" s="24" t="str">
        <f>IF(Contribute="abcd",IF($G$2&lt;&gt;-1,_xll.RtContribute(SourceAlias,R35,Fields,S35:T35,"SCOPE:SERVER"),_xll.RtContribute(SourceAlias,"DDS_INSERT_S",$G$2:$I$2,R35:T35,"SCOPE:SERVER FTC:ALL")),"stopped")</f>
        <v>stopped</v>
      </c>
      <c r="D35" s="24" t="str">
        <f>IF(Contribute="abcd",IF($G$2&lt;&gt;-1,_xll.RtContribute(SourceAlias,V35,Fields,W35:X35,"SCOPE:SERVER"),_xll.RtContribute(SourceAlias,"DDS_INSERT_S",$G$2:$I$2,V35:X35,"SCOPE:SERVER FTC:ALL")),"stopped")</f>
        <v>stopped</v>
      </c>
      <c r="E35" s="2" t="s">
        <v>117</v>
      </c>
      <c r="F35" s="19">
        <f>ABS(_xll.RtGet(SourceAlias,$N35,BID)-O35)</f>
        <v>1.526554438413541E-10</v>
      </c>
      <c r="G35" s="19">
        <f>ABS(_xll.RtGet(SourceAlias,$N35,ASK)-P35)</f>
        <v>1.526554438413541E-10</v>
      </c>
      <c r="H35" s="19">
        <f>ABS(_xll.RtGet(SourceAlias,$R35,BID)-S35)</f>
        <v>3.1696678615134033E-10</v>
      </c>
      <c r="I35" s="19">
        <f>ABS(_xll.RtGet(SourceAlias,$R35,ASK)-T35)</f>
        <v>3.1696678615134033E-10</v>
      </c>
      <c r="J35" s="19">
        <f>ABS(_xll.RtGet(SourceAlias,$V35,BID)-W35)</f>
        <v>9.4393381999680059E-12</v>
      </c>
      <c r="K35" s="19">
        <f>ABS(_xll.RtGet(SourceAlias,$V35,ASK)-X35)</f>
        <v>9.4393381999680059E-12</v>
      </c>
      <c r="L35" s="66" t="s">
        <v>117</v>
      </c>
      <c r="M35" s="24" t="s">
        <v>81</v>
      </c>
      <c r="N35" s="18" t="str">
        <f t="shared" si="7"/>
        <v>JPYON12YD=</v>
      </c>
      <c r="O35" s="19">
        <f>'ON Pricing'!I35*100</f>
        <v>0.53506849315265548</v>
      </c>
      <c r="P35" s="19">
        <f t="shared" si="3"/>
        <v>0.53506849315265548</v>
      </c>
      <c r="Q35" s="24" t="s">
        <v>45</v>
      </c>
      <c r="R35" s="18" t="str">
        <f t="shared" si="6"/>
        <v>JPY3M12Y=</v>
      </c>
      <c r="S35" s="19">
        <f>'3M Pricing'!I35*100</f>
        <v>0.69767609868303326</v>
      </c>
      <c r="T35" s="19">
        <f t="shared" si="4"/>
        <v>0.69767609868303326</v>
      </c>
      <c r="U35" s="24" t="s">
        <v>45</v>
      </c>
      <c r="V35" s="18" t="str">
        <f t="shared" si="8"/>
        <v>JPY6M12Y=</v>
      </c>
      <c r="W35" s="19">
        <f>'6M Pricing'!I35*100</f>
        <v>0.80000000000943938</v>
      </c>
      <c r="X35" s="19">
        <f t="shared" si="5"/>
        <v>0.80000000000943938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4" t="s">
        <v>46</v>
      </c>
      <c r="B36" s="24" t="str">
        <f>IF(Contribute="abcd",IF($G$2&lt;&gt;-1,_xll.RtContribute(SourceAlias,N36,Fields,O36:P36,"SCOPE:SERVER"),_xll.RtContribute(SourceAlias,"DDS_INSERT_S",$G$2:$I$2,O36:P36,"SCOPE:SERVER FTC:ALL")),"stopped")</f>
        <v>stopped</v>
      </c>
      <c r="C36" s="24" t="str">
        <f>IF(Contribute="abcd",IF($G$2&lt;&gt;-1,_xll.RtContribute(SourceAlias,R36,Fields,S36:T36,"SCOPE:SERVER"),_xll.RtContribute(SourceAlias,"DDS_INSERT_S",$G$2:$I$2,R36:T36,"SCOPE:SERVER FTC:ALL")),"stopped")</f>
        <v>stopped</v>
      </c>
      <c r="D36" s="24" t="str">
        <f>IF(Contribute="abcd",IF($G$2&lt;&gt;-1,_xll.RtContribute(SourceAlias,V36,Fields,W36:X36,"SCOPE:SERVER"),_xll.RtContribute(SourceAlias,"DDS_INSERT_S",$G$2:$I$2,V36:X36,"SCOPE:SERVER FTC:ALL")),"stopped")</f>
        <v>stopped</v>
      </c>
      <c r="E36" s="2" t="s">
        <v>117</v>
      </c>
      <c r="F36" s="19">
        <f>ABS(_xll.RtGet(SourceAlias,$N36,BID)-O36)</f>
        <v>3.4346248067862462E-10</v>
      </c>
      <c r="G36" s="19">
        <f>ABS(_xll.RtGet(SourceAlias,$N36,ASK)-P36)</f>
        <v>3.4346248067862462E-10</v>
      </c>
      <c r="H36" s="19">
        <f>ABS(_xll.RtGet(SourceAlias,$R36,BID)-S36)</f>
        <v>1.5802548158916352E-10</v>
      </c>
      <c r="I36" s="19">
        <f>ABS(_xll.RtGet(SourceAlias,$R36,ASK)-T36)</f>
        <v>1.5802548158916352E-10</v>
      </c>
      <c r="J36" s="19">
        <f>ABS(_xll.RtGet(SourceAlias,$V36,BID)-W36)</f>
        <v>6.6235905649136839E-12</v>
      </c>
      <c r="K36" s="19">
        <f>ABS(_xll.RtGet(SourceAlias,$V36,ASK)-X36)</f>
        <v>6.6235905649136839E-12</v>
      </c>
      <c r="L36" s="66" t="s">
        <v>117</v>
      </c>
      <c r="M36" s="24" t="s">
        <v>82</v>
      </c>
      <c r="N36" s="18" t="str">
        <f t="shared" si="7"/>
        <v>JPYON15YD=</v>
      </c>
      <c r="O36" s="19">
        <f>'ON Pricing'!I36*100</f>
        <v>0.77424657534346253</v>
      </c>
      <c r="P36" s="19">
        <f t="shared" si="3"/>
        <v>0.77424657534346253</v>
      </c>
      <c r="Q36" s="24" t="s">
        <v>46</v>
      </c>
      <c r="R36" s="18" t="str">
        <f t="shared" si="6"/>
        <v>JPY3M15Y=</v>
      </c>
      <c r="S36" s="19">
        <f>'3M Pricing'!I36*100</f>
        <v>0.93836068284197449</v>
      </c>
      <c r="T36" s="19">
        <f t="shared" si="4"/>
        <v>0.93836068284197449</v>
      </c>
      <c r="U36" s="24" t="s">
        <v>46</v>
      </c>
      <c r="V36" s="18" t="str">
        <f t="shared" si="8"/>
        <v>JPY6M15Y=</v>
      </c>
      <c r="W36" s="19">
        <f>'6M Pricing'!I36*100</f>
        <v>1.0500000000066236</v>
      </c>
      <c r="X36" s="19">
        <f t="shared" si="5"/>
        <v>1.0500000000066236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4" t="s">
        <v>47</v>
      </c>
      <c r="B37" s="24" t="str">
        <f>IF(Contribute="abcd",IF($G$2&lt;&gt;-1,_xll.RtContribute(SourceAlias,N37,Fields,O37:P37,"SCOPE:SERVER"),_xll.RtContribute(SourceAlias,"DDS_INSERT_S",$G$2:$I$2,O37:P37,"SCOPE:SERVER FTC:ALL")),"stopped")</f>
        <v>stopped</v>
      </c>
      <c r="C37" s="24" t="str">
        <f>IF(Contribute="abcd",IF($G$2&lt;&gt;-1,_xll.RtContribute(SourceAlias,R37,Fields,S37:T37,"SCOPE:SERVER"),_xll.RtContribute(SourceAlias,"DDS_INSERT_S",$G$2:$I$2,R37:T37,"SCOPE:SERVER FTC:ALL")),"stopped")</f>
        <v>stopped</v>
      </c>
      <c r="D37" s="24" t="str">
        <f>IF(Contribute="abcd",IF($G$2&lt;&gt;-1,_xll.RtContribute(SourceAlias,V37,Fields,W37:X37,"SCOPE:SERVER"),_xll.RtContribute(SourceAlias,"DDS_INSERT_S",$G$2:$I$2,V37:X37,"SCOPE:SERVER FTC:ALL")),"stopped")</f>
        <v>stopped</v>
      </c>
      <c r="E37" s="2" t="s">
        <v>117</v>
      </c>
      <c r="F37" s="19">
        <f>ABS(_xll.RtGet(SourceAlias,$N37,BID)-O37)</f>
        <v>1.2414935746107858E-10</v>
      </c>
      <c r="G37" s="19">
        <f>ABS(_xll.RtGet(SourceAlias,$N37,ASK)-P37)</f>
        <v>1.2414935746107858E-10</v>
      </c>
      <c r="H37" s="19">
        <f>ABS(_xll.RtGet(SourceAlias,$R37,BID)-S37)</f>
        <v>4.6922266072613183E-10</v>
      </c>
      <c r="I37" s="19">
        <f>ABS(_xll.RtGet(SourceAlias,$R37,ASK)-T37)</f>
        <v>4.6922266072613183E-10</v>
      </c>
      <c r="J37" s="19">
        <f>ABS(_xll.RtGet(SourceAlias,$V37,BID)-W37)</f>
        <v>6.0447202798741273E-12</v>
      </c>
      <c r="K37" s="19">
        <f>ABS(_xll.RtGet(SourceAlias,$V37,ASK)-X37)</f>
        <v>6.0447202798741273E-12</v>
      </c>
      <c r="L37" s="66" t="s">
        <v>117</v>
      </c>
      <c r="M37" s="24" t="s">
        <v>83</v>
      </c>
      <c r="N37" s="18" t="str">
        <f t="shared" si="7"/>
        <v>JPYON20YD=</v>
      </c>
      <c r="O37" s="19">
        <f>'ON Pricing'!I37*100</f>
        <v>1.0923287671241493</v>
      </c>
      <c r="P37" s="19">
        <f t="shared" si="3"/>
        <v>1.0923287671241493</v>
      </c>
      <c r="Q37" s="24" t="s">
        <v>47</v>
      </c>
      <c r="R37" s="18" t="str">
        <f t="shared" si="6"/>
        <v>JPY3M20Y=</v>
      </c>
      <c r="S37" s="19">
        <f>'3M Pricing'!I37*100</f>
        <v>1.2608165555307773</v>
      </c>
      <c r="T37" s="19">
        <f t="shared" si="4"/>
        <v>1.2608165555307773</v>
      </c>
      <c r="U37" s="24" t="s">
        <v>47</v>
      </c>
      <c r="V37" s="18" t="str">
        <f t="shared" si="8"/>
        <v>JPY6M20Y=</v>
      </c>
      <c r="W37" s="19">
        <f>'6M Pricing'!I37*100</f>
        <v>1.3724999999939553</v>
      </c>
      <c r="X37" s="19">
        <f t="shared" si="5"/>
        <v>1.3724999999939553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4" t="s">
        <v>48</v>
      </c>
      <c r="B38" s="24" t="str">
        <f>IF(Contribute="abcd",IF($G$2&lt;&gt;-1,_xll.RtContribute(SourceAlias,N38,Fields,O38:P38,"SCOPE:SERVER"),_xll.RtContribute(SourceAlias,"DDS_INSERT_S",$G$2:$I$2,O38:P38,"SCOPE:SERVER FTC:ALL")),"stopped")</f>
        <v>stopped</v>
      </c>
      <c r="C38" s="24" t="str">
        <f>IF(Contribute="abcd",IF($G$2&lt;&gt;-1,_xll.RtContribute(SourceAlias,R38,Fields,S38:T38,"SCOPE:SERVER"),_xll.RtContribute(SourceAlias,"DDS_INSERT_S",$G$2:$I$2,R38:T38,"SCOPE:SERVER FTC:ALL")),"stopped")</f>
        <v>stopped</v>
      </c>
      <c r="D38" s="24" t="str">
        <f>IF(Contribute="abcd",IF($G$2&lt;&gt;-1,_xll.RtContribute(SourceAlias,V38,Fields,W38:X38,"SCOPE:SERVER"),_xll.RtContribute(SourceAlias,"DDS_INSERT_S",$G$2:$I$2,V38:X38,"SCOPE:SERVER FTC:ALL")),"stopped")</f>
        <v>stopped</v>
      </c>
      <c r="E38" s="2" t="s">
        <v>117</v>
      </c>
      <c r="F38" s="19">
        <f>ABS(_xll.RtGet(SourceAlias,$N38,BID)-O38)</f>
        <v>1.1186607196123077E-12</v>
      </c>
      <c r="G38" s="19">
        <f>ABS(_xll.RtGet(SourceAlias,$N38,ASK)-P38)</f>
        <v>1.1186607196123077E-12</v>
      </c>
      <c r="H38" s="19">
        <f>ABS(_xll.RtGet(SourceAlias,$R38,BID)-S38)</f>
        <v>1.9824697439219108E-10</v>
      </c>
      <c r="I38" s="19">
        <f>ABS(_xll.RtGet(SourceAlias,$R38,ASK)-T38)</f>
        <v>1.9824697439219108E-10</v>
      </c>
      <c r="J38" s="19">
        <f>ABS(_xll.RtGet(SourceAlias,$V38,BID)-W38)</f>
        <v>2.7033930649622562E-12</v>
      </c>
      <c r="K38" s="19">
        <f>ABS(_xll.RtGet(SourceAlias,$V38,ASK)-X38)</f>
        <v>2.7033930649622562E-12</v>
      </c>
      <c r="L38" s="66" t="s">
        <v>117</v>
      </c>
      <c r="M38" s="24" t="s">
        <v>84</v>
      </c>
      <c r="N38" s="18" t="str">
        <f t="shared" si="7"/>
        <v>JPYON25YD=</v>
      </c>
      <c r="O38" s="19">
        <f>'ON Pricing'!I38*100</f>
        <v>1.2599999999988813</v>
      </c>
      <c r="P38" s="19">
        <f t="shared" si="3"/>
        <v>1.2599999999988813</v>
      </c>
      <c r="Q38" s="24" t="s">
        <v>48</v>
      </c>
      <c r="R38" s="18" t="str">
        <f t="shared" si="6"/>
        <v>JPY3M25Y=</v>
      </c>
      <c r="S38" s="19">
        <f>'3M Pricing'!I38*100</f>
        <v>1.4356636758017531</v>
      </c>
      <c r="T38" s="19">
        <f t="shared" si="4"/>
        <v>1.4356636758017531</v>
      </c>
      <c r="U38" s="24" t="s">
        <v>48</v>
      </c>
      <c r="V38" s="18" t="str">
        <f t="shared" si="8"/>
        <v>JPY6M25Y=</v>
      </c>
      <c r="W38" s="19">
        <f>'6M Pricing'!I38*100</f>
        <v>1.5475000000027035</v>
      </c>
      <c r="X38" s="19">
        <f t="shared" si="5"/>
        <v>1.5475000000027035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1.25" customHeight="1" x14ac:dyDescent="0.2">
      <c r="A39" s="25" t="s">
        <v>49</v>
      </c>
      <c r="B39" s="25" t="str">
        <f>IF(Contribute="abcd",IF($G$2&lt;&gt;-1,_xll.RtContribute(SourceAlias,N39,Fields,O39:P39,"SCOPE:SERVER"),_xll.RtContribute(SourceAlias,"DDS_INSERT_S",$G$2:$I$2,O39:P39,"SCOPE:SERVER FTC:ALL")),"stopped")</f>
        <v>stopped</v>
      </c>
      <c r="C39" s="25" t="str">
        <f>IF(Contribute="abcd",IF($G$2&lt;&gt;-1,_xll.RtContribute(SourceAlias,R39,Fields,S39:T39,"SCOPE:SERVER"),_xll.RtContribute(SourceAlias,"DDS_INSERT_S",$G$2:$I$2,R39:T39,"SCOPE:SERVER FTC:ALL")),"stopped")</f>
        <v>stopped</v>
      </c>
      <c r="D39" s="25" t="str">
        <f>IF(Contribute="abcd",IF($G$2&lt;&gt;-1,_xll.RtContribute(SourceAlias,V39,Fields,W39:X39,"SCOPE:SERVER"),_xll.RtContribute(SourceAlias,"DDS_INSERT_S",$G$2:$I$2,V39:X39,"SCOPE:SERVER FTC:ALL")),"stopped")</f>
        <v>stopped</v>
      </c>
      <c r="E39" s="2" t="s">
        <v>117</v>
      </c>
      <c r="F39" s="21">
        <f>ABS(_xll.RtGet(SourceAlias,$N39,BID)-O39)</f>
        <v>1.1391776411073806E-11</v>
      </c>
      <c r="G39" s="21">
        <f>ABS(_xll.RtGet(SourceAlias,$N39,ASK)-P39)</f>
        <v>1.1391776411073806E-11</v>
      </c>
      <c r="H39" s="21">
        <f>ABS(_xll.RtGet(SourceAlias,$R39,BID)-S39)</f>
        <v>9.4582341958471261E-11</v>
      </c>
      <c r="I39" s="21">
        <f>ABS(_xll.RtGet(SourceAlias,$R39,ASK)-T39)</f>
        <v>9.4582341958471261E-11</v>
      </c>
      <c r="J39" s="21">
        <f>ABS(_xll.RtGet(SourceAlias,$V39,BID)-W39)</f>
        <v>1.2656542480726785E-12</v>
      </c>
      <c r="K39" s="21">
        <f>ABS(_xll.RtGet(SourceAlias,$V39,ASK)-X39)</f>
        <v>1.2656542480726785E-12</v>
      </c>
      <c r="L39" s="66" t="s">
        <v>117</v>
      </c>
      <c r="M39" s="25" t="s">
        <v>85</v>
      </c>
      <c r="N39" s="20" t="str">
        <f t="shared" si="7"/>
        <v>JPYON30YD=</v>
      </c>
      <c r="O39" s="21">
        <f>'ON Pricing'!I39*100</f>
        <v>1.3586301369886082</v>
      </c>
      <c r="P39" s="21">
        <f t="shared" si="3"/>
        <v>1.3586301369886082</v>
      </c>
      <c r="Q39" s="25" t="s">
        <v>49</v>
      </c>
      <c r="R39" s="20" t="str">
        <f t="shared" si="6"/>
        <v>JPY3M30Y=</v>
      </c>
      <c r="S39" s="21">
        <f>'3M Pricing'!I39*100</f>
        <v>1.5332407620945823</v>
      </c>
      <c r="T39" s="21">
        <f t="shared" si="4"/>
        <v>1.5332407620945823</v>
      </c>
      <c r="U39" s="25" t="s">
        <v>49</v>
      </c>
      <c r="V39" s="20" t="str">
        <f t="shared" si="8"/>
        <v>JPY6M30Y=</v>
      </c>
      <c r="W39" s="21">
        <f>'6M Pricing'!I39*100</f>
        <v>1.6475000000012656</v>
      </c>
      <c r="X39" s="21">
        <f t="shared" si="5"/>
        <v>1.6475000000012656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3"/>
      <c r="S100" s="3"/>
      <c r="T100" s="2"/>
      <c r="U100" s="2"/>
      <c r="V100" s="2"/>
      <c r="W100" s="2"/>
      <c r="X100" s="3"/>
      <c r="Y100" s="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</sheetData>
  <conditionalFormatting sqref="C2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6"/>
      <c r="D1" s="6"/>
      <c r="E1" s="6"/>
      <c r="F1" s="6"/>
      <c r="G1" s="6"/>
      <c r="H1" s="6"/>
      <c r="I1" s="6"/>
      <c r="J1" s="6"/>
      <c r="K1" s="9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10"/>
      <c r="D2" s="110"/>
      <c r="E2" s="8" t="s">
        <v>124</v>
      </c>
      <c r="F2" s="22" t="s">
        <v>19</v>
      </c>
      <c r="G2" s="110"/>
      <c r="H2" s="110"/>
      <c r="I2" s="110"/>
      <c r="J2" s="110"/>
      <c r="K2" s="112"/>
      <c r="L2" s="110"/>
      <c r="M2" s="110"/>
      <c r="N2" s="66"/>
      <c r="O2" s="6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10"/>
      <c r="D3" s="6"/>
      <c r="E3" s="82" t="s">
        <v>125</v>
      </c>
      <c r="F3" s="22" t="str">
        <f>Currency&amp;CurveTenor</f>
        <v>JPYON</v>
      </c>
      <c r="G3" s="110"/>
      <c r="H3" s="110"/>
      <c r="I3" s="110"/>
      <c r="J3" s="110"/>
      <c r="K3" s="112"/>
      <c r="L3" s="110"/>
      <c r="M3" s="6"/>
      <c r="N3" s="66"/>
      <c r="O3" s="6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10"/>
      <c r="D4" s="110"/>
      <c r="E4" s="6"/>
      <c r="F4" s="110"/>
      <c r="G4" s="110"/>
      <c r="H4" s="110"/>
      <c r="I4" s="110"/>
      <c r="J4" s="110"/>
      <c r="K4" s="112"/>
      <c r="L4" s="110"/>
      <c r="M4" s="110"/>
      <c r="N4" s="66"/>
      <c r="O4" s="6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10"/>
      <c r="D5" s="30"/>
      <c r="E5" s="30" t="s">
        <v>57</v>
      </c>
      <c r="F5" s="30" t="s">
        <v>91</v>
      </c>
      <c r="G5" s="30" t="s">
        <v>120</v>
      </c>
      <c r="H5" s="30" t="s">
        <v>55</v>
      </c>
      <c r="I5" s="31" t="s">
        <v>54</v>
      </c>
      <c r="J5" s="31" t="s">
        <v>122</v>
      </c>
      <c r="K5" s="31" t="s">
        <v>123</v>
      </c>
      <c r="L5" s="114"/>
      <c r="M5" s="8" t="s">
        <v>115</v>
      </c>
      <c r="N5" s="66"/>
      <c r="O5" s="6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10"/>
      <c r="D6" s="33" t="s">
        <v>19</v>
      </c>
      <c r="E6" s="33" t="s">
        <v>95</v>
      </c>
      <c r="F6" s="75">
        <f t="shared" ref="F6" si="0">EvaluationDate</f>
        <v>41886</v>
      </c>
      <c r="G6" s="75">
        <f>_xll.qlInterestRateIndexValueDate(OvernightIndex,F6)</f>
        <v>41886</v>
      </c>
      <c r="H6" s="75">
        <f>_xll.qlInterestRateIndexMaturity(OvernightIndex,G6)</f>
        <v>41887</v>
      </c>
      <c r="I6" s="76">
        <f>_xll.qlIndexFixing(OvernightIndex,F6,TRUE,InterestRatesTrigger)</f>
        <v>6.4148721957146826E-4</v>
      </c>
      <c r="J6" s="63" t="str">
        <f>Contribution!N6</f>
        <v>JPYONOND=</v>
      </c>
      <c r="K6" s="107"/>
      <c r="L6" s="114"/>
      <c r="M6" s="81" t="str">
        <f>_xll.qlOvernightIndex(,"Tonar",0,Currency,LocalCalendar,"Actual/365 (Fixed)",YieldCurve,,Trigger)</f>
        <v>obj_0048c#0001</v>
      </c>
      <c r="N6" s="66"/>
      <c r="O6" s="66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10"/>
      <c r="D7" s="36" t="s">
        <v>20</v>
      </c>
      <c r="E7" s="36" t="s">
        <v>95</v>
      </c>
      <c r="F7" s="78">
        <f>H6</f>
        <v>41887</v>
      </c>
      <c r="G7" s="78">
        <f>_xll.qlInterestRateIndexValueDate(OvernightIndex,F7)</f>
        <v>41887</v>
      </c>
      <c r="H7" s="78">
        <f>_xll.qlInterestRateIndexMaturity(OvernightIndex,G7)</f>
        <v>41890</v>
      </c>
      <c r="I7" s="77">
        <f>_xll.qlIndexFixing(OvernightIndex,F7,TRUE,InterestRatesTrigger)</f>
        <v>6.4161835502026443E-4</v>
      </c>
      <c r="J7" s="63" t="str">
        <f>Contribution!N7</f>
        <v>JPYONTND=</v>
      </c>
      <c r="K7" s="63"/>
      <c r="L7" s="115"/>
      <c r="M7" s="116"/>
      <c r="N7" s="66"/>
      <c r="O7" s="66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0"/>
      <c r="D8" s="38" t="s">
        <v>21</v>
      </c>
      <c r="E8" s="38" t="s">
        <v>95</v>
      </c>
      <c r="F8" s="79">
        <f>H7</f>
        <v>41890</v>
      </c>
      <c r="G8" s="79">
        <f>_xll.qlInterestRateIndexValueDate(OvernightIndex,F8)</f>
        <v>41890</v>
      </c>
      <c r="H8" s="79">
        <f>_xll.qlInterestRateIndexMaturity(OvernightIndex,G8)</f>
        <v>41891</v>
      </c>
      <c r="I8" s="80">
        <f>_xll.qlIndexFixing(OvernightIndex,F8,TRUE,InterestRatesTrigger)</f>
        <v>6.4187724231667964E-4</v>
      </c>
      <c r="J8" s="63" t="str">
        <f>Contribution!N8</f>
        <v>JPYONSND=</v>
      </c>
      <c r="K8" s="63"/>
      <c r="L8" s="114"/>
      <c r="M8" s="8" t="s">
        <v>121</v>
      </c>
      <c r="N8" s="66"/>
      <c r="O8" s="8" t="s">
        <v>131</v>
      </c>
      <c r="P8" s="8" t="s">
        <v>132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0"/>
      <c r="D9" s="36" t="s">
        <v>22</v>
      </c>
      <c r="E9" s="36" t="s">
        <v>86</v>
      </c>
      <c r="F9" s="78"/>
      <c r="G9" s="78">
        <f>_xll.qlSwapStartDate(M9)</f>
        <v>41890</v>
      </c>
      <c r="H9" s="78">
        <f>_xll.qlSwapMaturityDate(M9)</f>
        <v>41898</v>
      </c>
      <c r="I9" s="77">
        <f>_xll.qlOvernightIndexedSwapFairRate(M9,InterestRatesTrigger)</f>
        <v>6.3403077759982551E-4</v>
      </c>
      <c r="J9" s="64" t="str">
        <f>Contribution!N9</f>
        <v>JPYONSWD=</v>
      </c>
      <c r="K9" s="64"/>
      <c r="L9" s="114"/>
      <c r="M9" s="36" t="str">
        <f>_xll.qlMakeOIS(,IF(D9="SW","1W",D9),OvernightIndex,,ForwardStart,FixDayCounter,,,Trigger)</f>
        <v>obj_0049c#0001</v>
      </c>
      <c r="N9" s="66"/>
      <c r="O9" s="22" t="s">
        <v>133</v>
      </c>
      <c r="P9" s="22" t="s">
        <v>134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0"/>
      <c r="D10" s="36" t="s">
        <v>23</v>
      </c>
      <c r="E10" s="36" t="s">
        <v>86</v>
      </c>
      <c r="F10" s="78"/>
      <c r="G10" s="78">
        <f>_xll.qlSwapStartDate(M10)</f>
        <v>41890</v>
      </c>
      <c r="H10" s="78">
        <f>_xll.qlSwapMaturityDate(M10)</f>
        <v>41904</v>
      </c>
      <c r="I10" s="77">
        <f>_xll.qlOvernightIndexedSwapFairRate(M10,InterestRatesTrigger)</f>
        <v>6.3534206948632859E-4</v>
      </c>
      <c r="J10" s="63" t="str">
        <f>Contribution!N10</f>
        <v>JPYON2WD=</v>
      </c>
      <c r="K10" s="63"/>
      <c r="L10" s="114"/>
      <c r="M10" s="36" t="str">
        <f>_xll.qlMakeOIS(,IF(D10="SW","1W",D10),OvernightIndex,,ForwardStart,FixDayCounter,,,Trigger)</f>
        <v>obj_004a7#0001</v>
      </c>
      <c r="N10" s="66"/>
      <c r="O10" s="6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0"/>
      <c r="D11" s="36" t="s">
        <v>24</v>
      </c>
      <c r="E11" s="36" t="s">
        <v>86</v>
      </c>
      <c r="F11" s="78"/>
      <c r="G11" s="78">
        <f>_xll.qlSwapStartDate(M11)</f>
        <v>41890</v>
      </c>
      <c r="H11" s="78">
        <f>_xll.qlSwapMaturityDate(M11)</f>
        <v>41911</v>
      </c>
      <c r="I11" s="77">
        <f>_xll.qlOvernightIndexedSwapFairRate(M11,InterestRatesTrigger)</f>
        <v>6.3745539711921944E-4</v>
      </c>
      <c r="J11" s="63" t="str">
        <f>Contribution!N11</f>
        <v>JPYON3WD=</v>
      </c>
      <c r="K11" s="63"/>
      <c r="L11" s="114"/>
      <c r="M11" s="36" t="str">
        <f>_xll.qlMakeOIS(,IF(D11="SW","1W",D11),OvernightIndex,,ForwardStart,FixDayCounter,,,Trigger)</f>
        <v>obj_00490#0001</v>
      </c>
      <c r="N11" s="66"/>
      <c r="O11" s="6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0"/>
      <c r="D12" s="36" t="s">
        <v>25</v>
      </c>
      <c r="E12" s="36" t="s">
        <v>86</v>
      </c>
      <c r="F12" s="78"/>
      <c r="G12" s="78">
        <f>_xll.qlSwapStartDate(M12)</f>
        <v>41890</v>
      </c>
      <c r="H12" s="78">
        <f>_xll.qlSwapMaturityDate(M12)</f>
        <v>41920</v>
      </c>
      <c r="I12" s="77">
        <f>_xll.qlOvernightIndexedSwapFairRate(M12,InterestRatesTrigger)</f>
        <v>6.4109588957528274E-4</v>
      </c>
      <c r="J12" s="63" t="str">
        <f>Contribution!N12</f>
        <v>JPYON1MD=</v>
      </c>
      <c r="K12" s="63" t="str">
        <f t="shared" ref="K12:K17" si="1">Currency&amp;D12&amp;"OIS=ICAP"</f>
        <v>JPY1MOIS=ICAP</v>
      </c>
      <c r="L12" s="114"/>
      <c r="M12" s="36" t="str">
        <f>_xll.qlMakeOIS(,IF(D12="SW","1W",D12),OvernightIndex,,ForwardStart,FixDayCounter,,,Trigger)</f>
        <v>obj_00499#0001</v>
      </c>
      <c r="N12" s="66"/>
      <c r="O12" s="6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0"/>
      <c r="D13" s="36" t="s">
        <v>26</v>
      </c>
      <c r="E13" s="36" t="s">
        <v>86</v>
      </c>
      <c r="F13" s="78"/>
      <c r="G13" s="78">
        <f>_xll.qlSwapStartDate(M13)</f>
        <v>41890</v>
      </c>
      <c r="H13" s="78">
        <f>_xll.qlSwapMaturityDate(M13)</f>
        <v>41953</v>
      </c>
      <c r="I13" s="77">
        <f>_xll.qlOvernightIndexedSwapFairRate(M13,InterestRatesTrigger)</f>
        <v>6.4109589312672758E-4</v>
      </c>
      <c r="J13" s="63" t="str">
        <f>Contribution!N13</f>
        <v>JPYON2MD=</v>
      </c>
      <c r="K13" s="63" t="str">
        <f t="shared" si="1"/>
        <v>JPY2MOIS=ICAP</v>
      </c>
      <c r="L13" s="114"/>
      <c r="M13" s="36" t="str">
        <f>_xll.qlMakeOIS(,IF(D13="SW","1W",D13),OvernightIndex,,ForwardStart,FixDayCounter,,,Trigger)</f>
        <v>obj_004a0#0001</v>
      </c>
      <c r="N13" s="66"/>
      <c r="O13" s="6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0"/>
      <c r="D14" s="36" t="s">
        <v>27</v>
      </c>
      <c r="E14" s="36" t="s">
        <v>86</v>
      </c>
      <c r="F14" s="78"/>
      <c r="G14" s="78">
        <f>_xll.qlSwapStartDate(M14)</f>
        <v>41890</v>
      </c>
      <c r="H14" s="78">
        <f>_xll.qlSwapMaturityDate(M14)</f>
        <v>41981</v>
      </c>
      <c r="I14" s="77">
        <f>_xll.qlOvernightIndexedSwapFairRate(M14,InterestRatesTrigger)</f>
        <v>6.1643835685284206E-4</v>
      </c>
      <c r="J14" s="63" t="str">
        <f>Contribution!N14</f>
        <v>JPYON3MD=</v>
      </c>
      <c r="K14" s="63" t="str">
        <f t="shared" si="1"/>
        <v>JPY3MOIS=ICAP</v>
      </c>
      <c r="L14" s="114"/>
      <c r="M14" s="36" t="str">
        <f>_xll.qlMakeOIS(,IF(D14="SW","1W",D14),OvernightIndex,,ForwardStart,FixDayCounter,,,Trigger)</f>
        <v>obj_004a8#0001</v>
      </c>
      <c r="N14" s="66"/>
      <c r="O14" s="6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0"/>
      <c r="D15" s="36" t="s">
        <v>28</v>
      </c>
      <c r="E15" s="36" t="s">
        <v>86</v>
      </c>
      <c r="F15" s="78"/>
      <c r="G15" s="78">
        <f>_xll.qlSwapStartDate(M15)</f>
        <v>41890</v>
      </c>
      <c r="H15" s="78">
        <f>_xll.qlSwapMaturityDate(M15)</f>
        <v>42012</v>
      </c>
      <c r="I15" s="77">
        <f>_xll.qlOvernightIndexedSwapFairRate(M15,InterestRatesTrigger)</f>
        <v>6.164383568141123E-4</v>
      </c>
      <c r="J15" s="63" t="str">
        <f>Contribution!N15</f>
        <v>JPYON4MD=</v>
      </c>
      <c r="K15" s="63" t="str">
        <f t="shared" si="1"/>
        <v>JPY4MOIS=ICAP</v>
      </c>
      <c r="L15" s="114"/>
      <c r="M15" s="36" t="str">
        <f>_xll.qlMakeOIS(,IF(D15="SW","1W",D15),OvernightIndex,,ForwardStart,FixDayCounter,,,Trigger)</f>
        <v>obj_00495#0001</v>
      </c>
      <c r="N15" s="66"/>
      <c r="O15" s="6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10"/>
      <c r="D16" s="36" t="s">
        <v>29</v>
      </c>
      <c r="E16" s="36" t="s">
        <v>86</v>
      </c>
      <c r="F16" s="78"/>
      <c r="G16" s="78">
        <f>_xll.qlSwapStartDate(M16)</f>
        <v>41890</v>
      </c>
      <c r="H16" s="78">
        <f>_xll.qlSwapMaturityDate(M16)</f>
        <v>42044</v>
      </c>
      <c r="I16" s="77">
        <f>_xll.qlOvernightIndexedSwapFairRate(M16,InterestRatesTrigger)</f>
        <v>6.1643835664709269E-4</v>
      </c>
      <c r="J16" s="63" t="str">
        <f>Contribution!N16</f>
        <v>JPYON5MD=</v>
      </c>
      <c r="K16" s="63" t="str">
        <f t="shared" si="1"/>
        <v>JPY5MOIS=ICAP</v>
      </c>
      <c r="L16" s="114"/>
      <c r="M16" s="36" t="str">
        <f>_xll.qlMakeOIS(,IF(D16="SW","1W",D16),OvernightIndex,,ForwardStart,FixDayCounter,,,Trigger)</f>
        <v>obj_0049f#0001</v>
      </c>
      <c r="N16" s="66"/>
      <c r="O16" s="6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10"/>
      <c r="D17" s="36" t="s">
        <v>18</v>
      </c>
      <c r="E17" s="36" t="s">
        <v>86</v>
      </c>
      <c r="F17" s="78"/>
      <c r="G17" s="78">
        <f>_xll.qlSwapStartDate(M17)</f>
        <v>41890</v>
      </c>
      <c r="H17" s="78">
        <f>_xll.qlSwapMaturityDate(M17)</f>
        <v>42072</v>
      </c>
      <c r="I17" s="77">
        <f>_xll.qlOvernightIndexedSwapFairRate(M17,InterestRatesTrigger)</f>
        <v>5.9178082233184018E-4</v>
      </c>
      <c r="J17" s="63" t="str">
        <f>Contribution!N17</f>
        <v>JPYON6MD=</v>
      </c>
      <c r="K17" s="63" t="str">
        <f t="shared" si="1"/>
        <v>JPY6MOIS=ICAP</v>
      </c>
      <c r="L17" s="114"/>
      <c r="M17" s="36" t="str">
        <f>_xll.qlMakeOIS(,IF(D17="SW","1W",D17),OvernightIndex,,ForwardStart,FixDayCounter,,,Trigger)</f>
        <v>obj_004a3#0001</v>
      </c>
      <c r="N17" s="66"/>
      <c r="O17" s="6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10"/>
      <c r="D18" s="36" t="s">
        <v>30</v>
      </c>
      <c r="E18" s="36" t="s">
        <v>86</v>
      </c>
      <c r="F18" s="78"/>
      <c r="G18" s="78">
        <f>_xll.qlSwapStartDate(M18)</f>
        <v>41890</v>
      </c>
      <c r="H18" s="78">
        <f>_xll.qlSwapMaturityDate(M18)</f>
        <v>42102</v>
      </c>
      <c r="I18" s="77">
        <f>_xll.qlOvernightIndexedSwapFairRate(M18,InterestRatesTrigger)</f>
        <v>5.7486299736038589E-4</v>
      </c>
      <c r="J18" s="63"/>
      <c r="K18" s="63"/>
      <c r="L18" s="114"/>
      <c r="M18" s="36" t="str">
        <f>_xll.qlMakeOIS(,IF(D18="SW","1W",D18),OvernightIndex,,ForwardStart,FixDayCounter,,,Trigger)</f>
        <v>obj_004ab#0001</v>
      </c>
      <c r="N18" s="66"/>
      <c r="O18" s="6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10"/>
      <c r="D19" s="36" t="s">
        <v>31</v>
      </c>
      <c r="E19" s="36" t="s">
        <v>86</v>
      </c>
      <c r="F19" s="78"/>
      <c r="G19" s="78">
        <f>_xll.qlSwapStartDate(M19)</f>
        <v>41890</v>
      </c>
      <c r="H19" s="78">
        <f>_xll.qlSwapMaturityDate(M19)</f>
        <v>42132</v>
      </c>
      <c r="I19" s="77">
        <f>_xll.qlOvernightIndexedSwapFairRate(M19,InterestRatesTrigger)</f>
        <v>5.6869473487466211E-4</v>
      </c>
      <c r="J19" s="63"/>
      <c r="K19" s="63"/>
      <c r="L19" s="114"/>
      <c r="M19" s="36" t="str">
        <f>_xll.qlMakeOIS(,IF(D19="SW","1W",D19),OvernightIndex,,ForwardStart,FixDayCounter,,,Trigger)</f>
        <v>obj_00492#0001</v>
      </c>
      <c r="N19" s="66"/>
      <c r="O19" s="6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10"/>
      <c r="D20" s="36" t="s">
        <v>32</v>
      </c>
      <c r="E20" s="36" t="s">
        <v>86</v>
      </c>
      <c r="F20" s="78"/>
      <c r="G20" s="78">
        <f>_xll.qlSwapStartDate(M20)</f>
        <v>41890</v>
      </c>
      <c r="H20" s="78">
        <f>_xll.qlSwapMaturityDate(M20)</f>
        <v>42163</v>
      </c>
      <c r="I20" s="77">
        <f>_xll.qlOvernightIndexedSwapFairRate(M20,InterestRatesTrigger)</f>
        <v>5.6712328794728591E-4</v>
      </c>
      <c r="J20" s="63" t="str">
        <f>Contribution!N20</f>
        <v>JPYON9MD=</v>
      </c>
      <c r="K20" s="63" t="str">
        <f>Currency&amp;D20&amp;"OIS=ICAP"</f>
        <v>JPY9MOIS=ICAP</v>
      </c>
      <c r="L20" s="114"/>
      <c r="M20" s="36" t="str">
        <f>_xll.qlMakeOIS(,IF(D20="SW","1W",D20),OvernightIndex,,ForwardStart,FixDayCounter,,,Trigger)</f>
        <v>obj_0049d#0001</v>
      </c>
      <c r="N20" s="66"/>
      <c r="O20" s="6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10"/>
      <c r="D21" s="36" t="s">
        <v>33</v>
      </c>
      <c r="E21" s="36" t="s">
        <v>86</v>
      </c>
      <c r="F21" s="78"/>
      <c r="G21" s="78">
        <f>_xll.qlSwapStartDate(M21)</f>
        <v>41890</v>
      </c>
      <c r="H21" s="78">
        <f>_xll.qlSwapMaturityDate(M21)</f>
        <v>42193</v>
      </c>
      <c r="I21" s="77">
        <f>_xll.qlOvernightIndexedSwapFairRate(M21,InterestRatesTrigger)</f>
        <v>5.6683146621138933E-4</v>
      </c>
      <c r="J21" s="63"/>
      <c r="K21" s="63"/>
      <c r="L21" s="114"/>
      <c r="M21" s="36" t="str">
        <f>_xll.qlMakeOIS(,IF(D21="SW","1W",D21),OvernightIndex,,ForwardStart,FixDayCounter,,,Trigger)</f>
        <v>obj_004a4#0001</v>
      </c>
      <c r="N21" s="66"/>
      <c r="O21" s="6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10"/>
      <c r="D22" s="36" t="s">
        <v>34</v>
      </c>
      <c r="E22" s="36" t="s">
        <v>86</v>
      </c>
      <c r="F22" s="78"/>
      <c r="G22" s="78">
        <f>_xll.qlSwapStartDate(M22)</f>
        <v>41890</v>
      </c>
      <c r="H22" s="78">
        <f>_xll.qlSwapMaturityDate(M22)</f>
        <v>42226</v>
      </c>
      <c r="I22" s="77">
        <f>_xll.qlOvernightIndexedSwapFairRate(M22,InterestRatesTrigger)</f>
        <v>5.6692687029140972E-4</v>
      </c>
      <c r="J22" s="63"/>
      <c r="K22" s="63"/>
      <c r="L22" s="114"/>
      <c r="M22" s="36" t="str">
        <f>_xll.qlMakeOIS(,IF(D22="SW","1W",D22),OvernightIndex,,ForwardStart,FixDayCounter,,,Trigger)</f>
        <v>obj_004ac#0001</v>
      </c>
      <c r="N22" s="66"/>
      <c r="O22" s="6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10"/>
      <c r="D23" s="36" t="s">
        <v>35</v>
      </c>
      <c r="E23" s="36" t="s">
        <v>86</v>
      </c>
      <c r="F23" s="78"/>
      <c r="G23" s="78">
        <f>_xll.qlSwapStartDate(M23)</f>
        <v>41890</v>
      </c>
      <c r="H23" s="78">
        <f>_xll.qlSwapMaturityDate(M23)</f>
        <v>42255</v>
      </c>
      <c r="I23" s="77">
        <f>_xll.qlOvernightIndexedSwapFairRate(M23,InterestRatesTrigger)</f>
        <v>5.6712328787774497E-4</v>
      </c>
      <c r="J23" s="63" t="str">
        <f>Contribution!N23</f>
        <v>JPYON1YD=</v>
      </c>
      <c r="K23" s="63" t="str">
        <f>Currency&amp;D23&amp;"OIS=ICAP"</f>
        <v>JPY1YOIS=ICAP</v>
      </c>
      <c r="L23" s="114"/>
      <c r="M23" s="36" t="str">
        <f>_xll.qlMakeOIS(,IF(D23="SW","1W",D23),OvernightIndex,,ForwardStart,FixDayCounter,,,Trigger)</f>
        <v>obj_00497#0001</v>
      </c>
      <c r="N23" s="66"/>
      <c r="O23" s="6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10"/>
      <c r="D24" s="24" t="s">
        <v>113</v>
      </c>
      <c r="E24" s="36" t="s">
        <v>86</v>
      </c>
      <c r="F24" s="78"/>
      <c r="G24" s="78">
        <f>_xll.qlSwapStartDate(M24)</f>
        <v>41890</v>
      </c>
      <c r="H24" s="78">
        <f>_xll.qlSwapMaturityDate(M24)</f>
        <v>42346</v>
      </c>
      <c r="I24" s="77">
        <f>_xll.qlOvernightIndexedSwapFairRate(M24,InterestRatesTrigger)</f>
        <v>5.6738142748689543E-4</v>
      </c>
      <c r="J24" s="63"/>
      <c r="K24" s="63"/>
      <c r="L24" s="114"/>
      <c r="M24" s="36" t="str">
        <f>_xll.qlMakeOIS(,IF(D24="SW","1W",D24),OvernightIndex,,ForwardStart,FixDayCounter,,,Trigger)</f>
        <v>obj_0049a#0001</v>
      </c>
      <c r="N24" s="66"/>
      <c r="O24" s="6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10"/>
      <c r="D25" s="24" t="s">
        <v>112</v>
      </c>
      <c r="E25" s="36" t="s">
        <v>86</v>
      </c>
      <c r="F25" s="78"/>
      <c r="G25" s="78">
        <f>_xll.qlSwapStartDate(M25)</f>
        <v>41890</v>
      </c>
      <c r="H25" s="78">
        <f>_xll.qlSwapMaturityDate(M25)</f>
        <v>42437</v>
      </c>
      <c r="I25" s="77">
        <f>_xll.qlOvernightIndexedSwapFairRate(M25,InterestRatesTrigger)</f>
        <v>5.6712328780903875E-4</v>
      </c>
      <c r="J25" s="63" t="str">
        <f>Contribution!N25</f>
        <v>JPYON1Y6MD=</v>
      </c>
      <c r="K25" s="63" t="str">
        <f t="shared" ref="K25:K39" si="2">Currency&amp;D25&amp;"OIS=ICAP"</f>
        <v>JPY18MOIS=ICAP</v>
      </c>
      <c r="L25" s="114"/>
      <c r="M25" s="36" t="str">
        <f>_xll.qlMakeOIS(,IF(D25="SW","1W",D25),OvernightIndex,,ForwardStart,FixDayCounter,,,Trigger)</f>
        <v>obj_0049e#0001</v>
      </c>
      <c r="N25" s="66"/>
      <c r="O25" s="6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10"/>
      <c r="D26" s="36" t="s">
        <v>36</v>
      </c>
      <c r="E26" s="36" t="s">
        <v>86</v>
      </c>
      <c r="F26" s="78"/>
      <c r="G26" s="78">
        <f>_xll.qlSwapStartDate(M26)</f>
        <v>41890</v>
      </c>
      <c r="H26" s="78">
        <f>_xll.qlSwapMaturityDate(M26)</f>
        <v>42621</v>
      </c>
      <c r="I26" s="77">
        <f>_xll.qlOvernightIndexedSwapFairRate(M26,InterestRatesTrigger)</f>
        <v>5.6712328777443091E-4</v>
      </c>
      <c r="J26" s="63" t="str">
        <f>Contribution!N26</f>
        <v>JPYON2YD=</v>
      </c>
      <c r="K26" s="63" t="str">
        <f t="shared" si="2"/>
        <v>JPY2YOIS=ICAP</v>
      </c>
      <c r="L26" s="114"/>
      <c r="M26" s="36" t="str">
        <f>_xll.qlMakeOIS(,IF(D26="SW","1W",D26),OvernightIndex,,ForwardStart,FixDayCounter,,,Trigger)</f>
        <v>obj_004a1#0001</v>
      </c>
      <c r="N26" s="66"/>
      <c r="O26" s="6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10"/>
      <c r="D27" s="36" t="s">
        <v>37</v>
      </c>
      <c r="E27" s="36" t="s">
        <v>86</v>
      </c>
      <c r="F27" s="78"/>
      <c r="G27" s="78">
        <f>_xll.qlSwapStartDate(M27)</f>
        <v>41890</v>
      </c>
      <c r="H27" s="78">
        <f>_xll.qlSwapMaturityDate(M27)</f>
        <v>42986</v>
      </c>
      <c r="I27" s="77">
        <f>_xll.qlOvernightIndexedSwapFairRate(M27,InterestRatesTrigger)</f>
        <v>6.1643835623318799E-4</v>
      </c>
      <c r="J27" s="63" t="str">
        <f>Contribution!N27</f>
        <v>JPYON3YD=</v>
      </c>
      <c r="K27" s="63" t="str">
        <f t="shared" si="2"/>
        <v>JPY3YOIS=ICAP</v>
      </c>
      <c r="L27" s="114"/>
      <c r="M27" s="36" t="str">
        <f>_xll.qlMakeOIS(,IF(D27="SW","1W",D27),OvernightIndex,,ForwardStart,FixDayCounter,,,Trigger)</f>
        <v>obj_004a5#0001</v>
      </c>
      <c r="N27" s="66"/>
      <c r="O27" s="6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10"/>
      <c r="D28" s="36" t="s">
        <v>38</v>
      </c>
      <c r="E28" s="36" t="s">
        <v>86</v>
      </c>
      <c r="F28" s="78"/>
      <c r="G28" s="78">
        <f>_xll.qlSwapStartDate(M28)</f>
        <v>41890</v>
      </c>
      <c r="H28" s="78">
        <f>_xll.qlSwapMaturityDate(M28)</f>
        <v>43353</v>
      </c>
      <c r="I28" s="77">
        <f>_xll.qlOvernightIndexedSwapFairRate(M28,InterestRatesTrigger)</f>
        <v>8.1369863018858682E-4</v>
      </c>
      <c r="J28" s="63" t="str">
        <f>Contribution!N28</f>
        <v>JPYON4YD=</v>
      </c>
      <c r="K28" s="63" t="str">
        <f t="shared" si="2"/>
        <v>JPY4YOIS=ICAP</v>
      </c>
      <c r="L28" s="114"/>
      <c r="M28" s="36" t="str">
        <f>_xll.qlMakeOIS(,IF(D28="SW","1W",D28),OvernightIndex,,ForwardStart,FixDayCounter,,,Trigger)</f>
        <v>obj_004a9#0001</v>
      </c>
      <c r="N28" s="66"/>
      <c r="O28" s="6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10"/>
      <c r="D29" s="36" t="s">
        <v>39</v>
      </c>
      <c r="E29" s="36" t="s">
        <v>86</v>
      </c>
      <c r="F29" s="78"/>
      <c r="G29" s="78">
        <f>_xll.qlSwapStartDate(M29)</f>
        <v>41890</v>
      </c>
      <c r="H29" s="78">
        <f>_xll.qlSwapMaturityDate(M29)</f>
        <v>43717</v>
      </c>
      <c r="I29" s="77">
        <f>_xll.qlOvernightIndexedSwapFairRate(M29,InterestRatesTrigger)</f>
        <v>1.1589041096304008E-3</v>
      </c>
      <c r="J29" s="63" t="str">
        <f>Contribution!N29</f>
        <v>JPYON5YD=</v>
      </c>
      <c r="K29" s="63" t="str">
        <f t="shared" si="2"/>
        <v>JPY5YOIS=ICAP</v>
      </c>
      <c r="L29" s="114"/>
      <c r="M29" s="36" t="str">
        <f>_xll.qlMakeOIS(,IF(D29="SW","1W",D29),OvernightIndex,,ForwardStart,FixDayCounter,,,Trigger)</f>
        <v>obj_004ad#0001</v>
      </c>
      <c r="N29" s="66"/>
      <c r="O29" s="6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10"/>
      <c r="D30" s="36" t="s">
        <v>40</v>
      </c>
      <c r="E30" s="36" t="s">
        <v>86</v>
      </c>
      <c r="F30" s="78"/>
      <c r="G30" s="78">
        <f>_xll.qlSwapStartDate(M30)</f>
        <v>41890</v>
      </c>
      <c r="H30" s="78">
        <f>_xll.qlSwapMaturityDate(M30)</f>
        <v>44082</v>
      </c>
      <c r="I30" s="77">
        <f>_xll.qlOvernightIndexedSwapFairRate(M30,InterestRatesTrigger)</f>
        <v>1.578082191815303E-3</v>
      </c>
      <c r="J30" s="63" t="str">
        <f>Contribution!N30</f>
        <v>JPYON6YD=</v>
      </c>
      <c r="K30" s="63" t="str">
        <f t="shared" si="2"/>
        <v>JPY6YOIS=ICAP</v>
      </c>
      <c r="L30" s="114"/>
      <c r="M30" s="36" t="str">
        <f>_xll.qlMakeOIS(,IF(D30="SW","1W",D30),OvernightIndex,,ForwardStart,FixDayCounter,,,Trigger)</f>
        <v>obj_00491#0001</v>
      </c>
      <c r="N30" s="66"/>
      <c r="O30" s="6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10"/>
      <c r="D31" s="36" t="s">
        <v>41</v>
      </c>
      <c r="E31" s="36" t="s">
        <v>86</v>
      </c>
      <c r="F31" s="78"/>
      <c r="G31" s="78">
        <f>_xll.qlSwapStartDate(M31)</f>
        <v>41890</v>
      </c>
      <c r="H31" s="78">
        <f>_xll.qlSwapMaturityDate(M31)</f>
        <v>44447</v>
      </c>
      <c r="I31" s="77">
        <f>_xll.qlOvernightIndexedSwapFairRate(M31,InterestRatesTrigger)</f>
        <v>2.0712328767420085E-3</v>
      </c>
      <c r="J31" s="63" t="str">
        <f>Contribution!N31</f>
        <v>JPYON7YD=</v>
      </c>
      <c r="K31" s="63" t="str">
        <f t="shared" si="2"/>
        <v>JPY7YOIS=ICAP</v>
      </c>
      <c r="L31" s="114"/>
      <c r="M31" s="36" t="str">
        <f>_xll.qlMakeOIS(,IF(D31="SW","1W",D31),OvernightIndex,,ForwardStart,FixDayCounter,,,Trigger)</f>
        <v>obj_00493#0001</v>
      </c>
      <c r="N31" s="66"/>
      <c r="O31" s="6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10"/>
      <c r="D32" s="36" t="s">
        <v>42</v>
      </c>
      <c r="E32" s="36" t="s">
        <v>86</v>
      </c>
      <c r="F32" s="78"/>
      <c r="G32" s="78">
        <f>_xll.qlSwapStartDate(M32)</f>
        <v>41890</v>
      </c>
      <c r="H32" s="78">
        <f>_xll.qlSwapMaturityDate(M32)</f>
        <v>44812</v>
      </c>
      <c r="I32" s="77">
        <f>_xll.qlOvernightIndexedSwapFairRate(M32,InterestRatesTrigger)</f>
        <v>2.6136986301630418E-3</v>
      </c>
      <c r="J32" s="63" t="str">
        <f>Contribution!N32</f>
        <v>JPYON8YD=</v>
      </c>
      <c r="K32" s="63" t="str">
        <f t="shared" si="2"/>
        <v>JPY8YOIS=ICAP</v>
      </c>
      <c r="L32" s="114"/>
      <c r="M32" s="36" t="str">
        <f>_xll.qlMakeOIS(,IF(D32="SW","1W",D32),OvernightIndex,,ForwardStart,FixDayCounter,,,Trigger)</f>
        <v>obj_0049b#0001</v>
      </c>
      <c r="N32" s="66"/>
      <c r="O32" s="6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10"/>
      <c r="D33" s="36" t="s">
        <v>43</v>
      </c>
      <c r="E33" s="36" t="s">
        <v>86</v>
      </c>
      <c r="F33" s="78"/>
      <c r="G33" s="78">
        <f>_xll.qlSwapStartDate(M33)</f>
        <v>41890</v>
      </c>
      <c r="H33" s="78">
        <f>_xll.qlSwapMaturityDate(M33)</f>
        <v>45177</v>
      </c>
      <c r="I33" s="77">
        <f>_xll.qlOvernightIndexedSwapFairRate(M33,InterestRatesTrigger)</f>
        <v>3.2301369863102711E-3</v>
      </c>
      <c r="J33" s="63" t="str">
        <f>Contribution!N33</f>
        <v>JPYON9YD=</v>
      </c>
      <c r="K33" s="63" t="str">
        <f t="shared" si="2"/>
        <v>JPY9YOIS=ICAP</v>
      </c>
      <c r="L33" s="114"/>
      <c r="M33" s="36" t="str">
        <f>_xll.qlMakeOIS(,IF(D33="SW","1W",D33),OvernightIndex,,ForwardStart,FixDayCounter,,,Trigger)</f>
        <v>obj_00494#0001</v>
      </c>
      <c r="N33" s="66"/>
      <c r="O33" s="6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10"/>
      <c r="D34" s="36" t="s">
        <v>44</v>
      </c>
      <c r="E34" s="36" t="s">
        <v>86</v>
      </c>
      <c r="F34" s="78"/>
      <c r="G34" s="78">
        <f>_xll.qlSwapStartDate(M34)</f>
        <v>41890</v>
      </c>
      <c r="H34" s="78">
        <f>_xll.qlSwapMaturityDate(M34)</f>
        <v>45544</v>
      </c>
      <c r="I34" s="77">
        <f>_xll.qlOvernightIndexedSwapFairRate(M34,InterestRatesTrigger)</f>
        <v>3.895890411058857E-3</v>
      </c>
      <c r="J34" s="63" t="str">
        <f>Contribution!N34</f>
        <v>JPYON10YD=</v>
      </c>
      <c r="K34" s="63" t="str">
        <f t="shared" si="2"/>
        <v>JPY10YOIS=ICAP</v>
      </c>
      <c r="L34" s="114"/>
      <c r="M34" s="36" t="str">
        <f>_xll.qlMakeOIS(,IF(D34="SW","1W",D34),OvernightIndex,,ForwardStart,FixDayCounter,,,Trigger)</f>
        <v>obj_004a2#0001</v>
      </c>
      <c r="N34" s="66"/>
      <c r="O34" s="6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10"/>
      <c r="D35" s="36" t="s">
        <v>45</v>
      </c>
      <c r="E35" s="36" t="s">
        <v>86</v>
      </c>
      <c r="F35" s="78"/>
      <c r="G35" s="78">
        <f>_xll.qlSwapStartDate(M35)</f>
        <v>41890</v>
      </c>
      <c r="H35" s="78">
        <f>_xll.qlSwapMaturityDate(M35)</f>
        <v>46273</v>
      </c>
      <c r="I35" s="77">
        <f>_xll.qlOvernightIndexedSwapFairRate(M35,InterestRatesTrigger)</f>
        <v>5.3506849315265543E-3</v>
      </c>
      <c r="J35" s="63" t="str">
        <f>Contribution!N35</f>
        <v>JPYON12YD=</v>
      </c>
      <c r="K35" s="63" t="str">
        <f t="shared" si="2"/>
        <v>JPY12YOIS=ICAP</v>
      </c>
      <c r="L35" s="114"/>
      <c r="M35" s="36" t="str">
        <f>_xll.qlMakeOIS(,IF(D35="SW","1W",D35),OvernightIndex,,ForwardStart,FixDayCounter,,,Trigger)</f>
        <v>obj_004a6#0001</v>
      </c>
      <c r="N35" s="66"/>
      <c r="O35" s="6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10"/>
      <c r="D36" s="36" t="s">
        <v>46</v>
      </c>
      <c r="E36" s="36" t="s">
        <v>86</v>
      </c>
      <c r="F36" s="78"/>
      <c r="G36" s="78">
        <f>_xll.qlSwapStartDate(M36)</f>
        <v>41890</v>
      </c>
      <c r="H36" s="78">
        <f>_xll.qlSwapMaturityDate(M36)</f>
        <v>47371</v>
      </c>
      <c r="I36" s="77">
        <f>_xll.qlOvernightIndexedSwapFairRate(M36,InterestRatesTrigger)</f>
        <v>7.742465753434625E-3</v>
      </c>
      <c r="J36" s="63" t="str">
        <f>Contribution!N36</f>
        <v>JPYON15YD=</v>
      </c>
      <c r="K36" s="63" t="str">
        <f t="shared" si="2"/>
        <v>JPY15YOIS=ICAP</v>
      </c>
      <c r="L36" s="114"/>
      <c r="M36" s="36" t="str">
        <f>_xll.qlMakeOIS(,IF(D36="SW","1W",D36),OvernightIndex,,ForwardStart,FixDayCounter,,,Trigger)</f>
        <v>obj_004aa#0001</v>
      </c>
      <c r="N36" s="66"/>
      <c r="O36" s="6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10"/>
      <c r="D37" s="36" t="s">
        <v>47</v>
      </c>
      <c r="E37" s="36" t="s">
        <v>86</v>
      </c>
      <c r="F37" s="78"/>
      <c r="G37" s="78">
        <f>_xll.qlSwapStartDate(M37)</f>
        <v>41890</v>
      </c>
      <c r="H37" s="78">
        <f>_xll.qlSwapMaturityDate(M37)</f>
        <v>49195</v>
      </c>
      <c r="I37" s="77">
        <f>_xll.qlOvernightIndexedSwapFairRate(M37,InterestRatesTrigger)</f>
        <v>1.0923287671241493E-2</v>
      </c>
      <c r="J37" s="63" t="str">
        <f>Contribution!N37</f>
        <v>JPYON20YD=</v>
      </c>
      <c r="K37" s="63" t="str">
        <f t="shared" si="2"/>
        <v>JPY20YOIS=ICAP</v>
      </c>
      <c r="L37" s="114"/>
      <c r="M37" s="36" t="str">
        <f>_xll.qlMakeOIS(,IF(D37="SW","1W",D37),OvernightIndex,,ForwardStart,FixDayCounter,,,Trigger)</f>
        <v>obj_004ae#0001</v>
      </c>
      <c r="N37" s="66"/>
      <c r="O37" s="6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10"/>
      <c r="D38" s="36" t="s">
        <v>48</v>
      </c>
      <c r="E38" s="36" t="s">
        <v>86</v>
      </c>
      <c r="F38" s="78"/>
      <c r="G38" s="78">
        <f>_xll.qlSwapStartDate(M38)</f>
        <v>41890</v>
      </c>
      <c r="H38" s="78">
        <f>_xll.qlSwapMaturityDate(M38)</f>
        <v>51021</v>
      </c>
      <c r="I38" s="77">
        <f>_xll.qlOvernightIndexedSwapFairRate(M38,InterestRatesTrigger)</f>
        <v>1.2599999999988813E-2</v>
      </c>
      <c r="J38" s="63" t="str">
        <f>Contribution!N38</f>
        <v>JPYON25YD=</v>
      </c>
      <c r="K38" s="63" t="str">
        <f t="shared" si="2"/>
        <v>JPY25YOIS=ICAP</v>
      </c>
      <c r="L38" s="114"/>
      <c r="M38" s="36" t="str">
        <f>_xll.qlMakeOIS(,IF(D38="SW","1W",D38),OvernightIndex,,ForwardStart,FixDayCounter,,,Trigger)</f>
        <v>obj_00496#0001</v>
      </c>
      <c r="N38" s="66"/>
      <c r="O38" s="6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10"/>
      <c r="D39" s="36" t="s">
        <v>49</v>
      </c>
      <c r="E39" s="36" t="s">
        <v>86</v>
      </c>
      <c r="F39" s="78"/>
      <c r="G39" s="78">
        <f>_xll.qlSwapStartDate(M39)</f>
        <v>41890</v>
      </c>
      <c r="H39" s="78">
        <f>_xll.qlSwapMaturityDate(M39)</f>
        <v>52848</v>
      </c>
      <c r="I39" s="77">
        <f>_xll.qlOvernightIndexedSwapFairRate(M39,InterestRatesTrigger)</f>
        <v>1.3586301369886082E-2</v>
      </c>
      <c r="J39" s="65" t="str">
        <f>Contribution!N39</f>
        <v>JPYON30YD=</v>
      </c>
      <c r="K39" s="65" t="str">
        <f t="shared" si="2"/>
        <v>JPY30YOIS=ICAP</v>
      </c>
      <c r="L39" s="114"/>
      <c r="M39" s="38" t="str">
        <f>_xll.qlMakeOIS(,IF(D39="SW","1W",D39),OvernightIndex,,ForwardStart,FixDayCounter,,,Trigger)</f>
        <v>obj_00498#0001</v>
      </c>
      <c r="N39" s="66"/>
      <c r="O39" s="6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10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66"/>
      <c r="O40" s="6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110"/>
      <c r="D41" s="110"/>
      <c r="E41" s="110"/>
      <c r="F41" s="110"/>
      <c r="G41" s="110"/>
      <c r="H41" s="110"/>
      <c r="I41" s="110"/>
      <c r="J41" s="110"/>
      <c r="K41" s="112"/>
      <c r="L41" s="110"/>
      <c r="M41" s="110"/>
      <c r="N41" s="6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6"/>
      <c r="D101" s="6"/>
      <c r="E101" s="6"/>
      <c r="F101" s="6"/>
      <c r="G101" s="6"/>
      <c r="H101" s="6"/>
      <c r="I101" s="6"/>
      <c r="J101" s="6"/>
      <c r="K101" s="9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1">
    <dataValidation type="list" allowBlank="1" showInputMessage="1" showErrorMessage="1" sqref="P9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5 I39 I38 I37 I3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1" customWidth="1"/>
    <col min="30" max="150" width="14.85546875" style="1" customWidth="1"/>
    <col min="151" max="16384" width="2.85546875" style="1"/>
  </cols>
  <sheetData>
    <row r="1" spans="1:26" x14ac:dyDescent="0.2">
      <c r="A1" s="6"/>
      <c r="B1" s="9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10"/>
      <c r="B2" s="112"/>
      <c r="C2" s="110"/>
      <c r="D2" s="110"/>
      <c r="E2" s="8" t="s">
        <v>124</v>
      </c>
      <c r="F2" s="22" t="s">
        <v>27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66"/>
      <c r="S2" s="66"/>
      <c r="T2" s="66"/>
      <c r="U2" s="66"/>
      <c r="V2" s="66"/>
      <c r="W2" s="66"/>
      <c r="X2" s="66"/>
      <c r="Y2" s="66"/>
      <c r="Z2" s="66"/>
    </row>
    <row r="3" spans="1:26" x14ac:dyDescent="0.2">
      <c r="A3" s="110"/>
      <c r="B3" s="112"/>
      <c r="C3" s="110"/>
      <c r="D3" s="6"/>
      <c r="E3" s="8" t="s">
        <v>125</v>
      </c>
      <c r="F3" s="22" t="str">
        <f>Currency&amp;CurveTenor</f>
        <v>JPY3M</v>
      </c>
      <c r="G3" s="110"/>
      <c r="H3" s="110"/>
      <c r="I3" s="110"/>
      <c r="J3" s="110"/>
      <c r="K3" s="110"/>
      <c r="L3" s="110"/>
      <c r="M3" s="6"/>
      <c r="N3" s="110"/>
      <c r="O3" s="6"/>
      <c r="P3" s="110"/>
      <c r="Q3" s="110"/>
      <c r="R3" s="66"/>
      <c r="S3" s="66"/>
      <c r="T3" s="2"/>
      <c r="U3" s="2"/>
      <c r="V3" s="2"/>
      <c r="W3" s="2"/>
      <c r="X3" s="2"/>
      <c r="Y3" s="2"/>
      <c r="Z3" s="2"/>
    </row>
    <row r="4" spans="1:26" x14ac:dyDescent="0.2">
      <c r="A4" s="110"/>
      <c r="B4" s="112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66"/>
      <c r="S4" s="66"/>
      <c r="T4" s="2"/>
      <c r="U4" s="2"/>
      <c r="V4" s="2"/>
      <c r="W4" s="2"/>
      <c r="X4" s="2"/>
      <c r="Y4" s="2"/>
      <c r="Z4" s="2"/>
    </row>
    <row r="5" spans="1:26" x14ac:dyDescent="0.2">
      <c r="A5" s="110"/>
      <c r="B5" s="51"/>
      <c r="C5" s="52"/>
      <c r="D5" s="53"/>
      <c r="E5" s="30" t="s">
        <v>57</v>
      </c>
      <c r="F5" s="30" t="s">
        <v>91</v>
      </c>
      <c r="G5" s="30" t="s">
        <v>120</v>
      </c>
      <c r="H5" s="30" t="s">
        <v>55</v>
      </c>
      <c r="I5" s="31" t="s">
        <v>54</v>
      </c>
      <c r="J5" s="31" t="s">
        <v>122</v>
      </c>
      <c r="K5" s="31" t="s">
        <v>123</v>
      </c>
      <c r="L5" s="110"/>
      <c r="M5" s="26" t="s">
        <v>92</v>
      </c>
      <c r="N5" s="110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110"/>
      <c r="B6" s="70">
        <f t="shared" ref="B6:B14" si="0">H6-EvaluationDate</f>
        <v>1</v>
      </c>
      <c r="C6" s="84"/>
      <c r="D6" s="33" t="s">
        <v>19</v>
      </c>
      <c r="E6" s="33" t="s">
        <v>93</v>
      </c>
      <c r="F6" s="75">
        <f t="shared" ref="F6:F14" si="1">EvaluationDate</f>
        <v>41886</v>
      </c>
      <c r="G6" s="75">
        <f>EvaluationDate</f>
        <v>41886</v>
      </c>
      <c r="H6" s="75">
        <f>_xll.qlCalendarAdvance(Calendar,EvaluationDate,"1D","f",TRUE,Trigger)</f>
        <v>41887</v>
      </c>
      <c r="I6" s="85">
        <f>_xll.qlInterpolationInterpolate($M$6,B6,TRUE)</f>
        <v>1.3891179113062774E-3</v>
      </c>
      <c r="J6" s="104" t="str">
        <f>Contribution!R6</f>
        <v>JPY3MOND=</v>
      </c>
      <c r="K6" s="105"/>
      <c r="L6" s="110"/>
      <c r="M6" s="22" t="str">
        <f>_xll.qlInterpolation(,InterpolationType,B8:B14,I8:I14,,Trigger)</f>
        <v>obj_004d3#0001</v>
      </c>
      <c r="N6" s="110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110"/>
      <c r="B7" s="96">
        <f t="shared" si="0"/>
        <v>4</v>
      </c>
      <c r="C7" s="86"/>
      <c r="D7" s="36" t="s">
        <v>20</v>
      </c>
      <c r="E7" s="36" t="s">
        <v>93</v>
      </c>
      <c r="F7" s="78">
        <f t="shared" si="1"/>
        <v>41886</v>
      </c>
      <c r="G7" s="78">
        <f>H6</f>
        <v>41887</v>
      </c>
      <c r="H7" s="78">
        <f>_xll.qlCalendarAdvance(Calendar,EvaluationDate,"2D","f",TRUE,Trigger)</f>
        <v>41890</v>
      </c>
      <c r="I7" s="83">
        <f>_xll.qlInterpolationInterpolate($M$6,B7,TRUE)</f>
        <v>1.3890495374825923E-3</v>
      </c>
      <c r="J7" s="106" t="str">
        <f>Contribution!R7</f>
        <v>JPY3MTND=</v>
      </c>
      <c r="K7" s="107"/>
      <c r="L7" s="110"/>
      <c r="M7" s="8" t="s">
        <v>50</v>
      </c>
      <c r="N7" s="110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110"/>
      <c r="B8" s="97">
        <f t="shared" si="0"/>
        <v>5</v>
      </c>
      <c r="C8" s="87"/>
      <c r="D8" s="33" t="s">
        <v>21</v>
      </c>
      <c r="E8" s="33" t="s">
        <v>95</v>
      </c>
      <c r="F8" s="75">
        <f t="shared" si="1"/>
        <v>41886</v>
      </c>
      <c r="G8" s="75">
        <f>_xll.qlInterestRateIndexValueDate(M8,F8,Trigger)</f>
        <v>41890</v>
      </c>
      <c r="H8" s="75">
        <f>_xll.qlInterestRateIndexMaturity(M8,G8,Trigger)</f>
        <v>41891</v>
      </c>
      <c r="I8" s="76">
        <f>_xll.qlIndexFixing(M8,F8,TRUE,InterestRatesTrigger)</f>
        <v>1.3890307789576894E-3</v>
      </c>
      <c r="J8" s="64" t="str">
        <f>Contribution!R8</f>
        <v>JPY3MSND=</v>
      </c>
      <c r="K8" s="64"/>
      <c r="L8" s="110"/>
      <c r="M8" s="34" t="str">
        <f>_xll.qlLibor(,Currency,D8,YieldCurve,,Trigger)</f>
        <v>obj_004b3#0001</v>
      </c>
      <c r="N8" s="110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110"/>
      <c r="B9" s="96">
        <f t="shared" si="0"/>
        <v>12</v>
      </c>
      <c r="C9" s="88"/>
      <c r="D9" s="36" t="s">
        <v>22</v>
      </c>
      <c r="E9" s="36" t="s">
        <v>95</v>
      </c>
      <c r="F9" s="78">
        <f t="shared" si="1"/>
        <v>41886</v>
      </c>
      <c r="G9" s="78">
        <f>_xll.qlInterestRateIndexValueDate(M9,F9,Trigger)</f>
        <v>41890</v>
      </c>
      <c r="H9" s="78">
        <f>_xll.qlInterestRateIndexMaturity(M9,G9,Trigger)</f>
        <v>41898</v>
      </c>
      <c r="I9" s="77">
        <f>_xll.qlIndexFixing(M9,F9,TRUE,InterestRatesTrigger)</f>
        <v>1.3888317190891009E-3</v>
      </c>
      <c r="J9" s="63" t="str">
        <f>Contribution!R9</f>
        <v>JPY3MSWD=</v>
      </c>
      <c r="K9" s="63"/>
      <c r="L9" s="110"/>
      <c r="M9" s="37" t="str">
        <f>_xll.qlLibor(,Currency,D9,YieldCurve,,Trigger)</f>
        <v>obj_004b1#0001</v>
      </c>
      <c r="N9" s="110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110"/>
      <c r="B10" s="96">
        <f t="shared" si="0"/>
        <v>18</v>
      </c>
      <c r="C10" s="88"/>
      <c r="D10" s="36" t="s">
        <v>23</v>
      </c>
      <c r="E10" s="36" t="s">
        <v>95</v>
      </c>
      <c r="F10" s="78">
        <f t="shared" si="1"/>
        <v>41886</v>
      </c>
      <c r="G10" s="78">
        <f>_xll.qlInterestRateIndexValueDate(M10,F10,Trigger)</f>
        <v>41890</v>
      </c>
      <c r="H10" s="78">
        <f>_xll.qlInterestRateIndexMaturity(M10,G10,Trigger)</f>
        <v>41904</v>
      </c>
      <c r="I10" s="77">
        <f>_xll.qlIndexFixing(M10,F10,TRUE,InterestRatesTrigger)</f>
        <v>1.3883914013668175E-3</v>
      </c>
      <c r="J10" s="63" t="str">
        <f>Contribution!R10</f>
        <v>JPY3M2WD=</v>
      </c>
      <c r="K10" s="63"/>
      <c r="L10" s="110"/>
      <c r="M10" s="37" t="str">
        <f>_xll.qlLibor(,Currency,D10,YieldCurve,,Trigger)</f>
        <v>obj_004b2#0001</v>
      </c>
      <c r="N10" s="110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110"/>
      <c r="B11" s="96">
        <f t="shared" si="0"/>
        <v>25</v>
      </c>
      <c r="C11" s="88"/>
      <c r="D11" s="36" t="s">
        <v>24</v>
      </c>
      <c r="E11" s="36" t="s">
        <v>95</v>
      </c>
      <c r="F11" s="78">
        <f t="shared" si="1"/>
        <v>41886</v>
      </c>
      <c r="G11" s="78">
        <f>_xll.qlInterestRateIndexValueDate(M11,F11,Trigger)</f>
        <v>41890</v>
      </c>
      <c r="H11" s="78">
        <f>_xll.qlInterestRateIndexMaturity(M11,G11,Trigger)</f>
        <v>41911</v>
      </c>
      <c r="I11" s="77">
        <f>_xll.qlIndexFixing(M11,F11,TRUE,InterestRatesTrigger)</f>
        <v>1.387563029001829E-3</v>
      </c>
      <c r="J11" s="63" t="str">
        <f>Contribution!R11</f>
        <v>JPY3M3WD=</v>
      </c>
      <c r="K11" s="63"/>
      <c r="L11" s="110"/>
      <c r="M11" s="37" t="str">
        <f>_xll.qlLibor(,Currency,D11,YieldCurve,,Trigger)</f>
        <v>obj_004b4#0001</v>
      </c>
      <c r="N11" s="110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110"/>
      <c r="B12" s="96">
        <f t="shared" si="0"/>
        <v>34</v>
      </c>
      <c r="C12" s="88"/>
      <c r="D12" s="36" t="s">
        <v>25</v>
      </c>
      <c r="E12" s="36" t="s">
        <v>95</v>
      </c>
      <c r="F12" s="78">
        <f t="shared" si="1"/>
        <v>41886</v>
      </c>
      <c r="G12" s="78">
        <f>_xll.qlInterestRateIndexValueDate(M12,F12,Trigger)</f>
        <v>41890</v>
      </c>
      <c r="H12" s="78">
        <f>_xll.qlInterestRateIndexMaturity(M12,G12,Trigger)</f>
        <v>41920</v>
      </c>
      <c r="I12" s="77">
        <f>_xll.qlIndexFixing(M12,F12,TRUE,InterestRatesTrigger)</f>
        <v>1.3860000000018857E-3</v>
      </c>
      <c r="J12" s="63" t="str">
        <f>Contribution!R12</f>
        <v>JPY3M1MD=</v>
      </c>
      <c r="K12" s="63"/>
      <c r="L12" s="110"/>
      <c r="M12" s="37" t="str">
        <f>_xll.qlLibor(,Currency,D12,YieldCurve,,Trigger)</f>
        <v>obj_004af#0001</v>
      </c>
      <c r="N12" s="110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110"/>
      <c r="B13" s="96">
        <f t="shared" si="0"/>
        <v>67</v>
      </c>
      <c r="C13" s="88"/>
      <c r="D13" s="36" t="s">
        <v>26</v>
      </c>
      <c r="E13" s="36" t="s">
        <v>95</v>
      </c>
      <c r="F13" s="78">
        <f t="shared" si="1"/>
        <v>41886</v>
      </c>
      <c r="G13" s="78">
        <f>_xll.qlInterestRateIndexValueDate(M13,F13,Trigger)</f>
        <v>41890</v>
      </c>
      <c r="H13" s="78">
        <f>_xll.qlInterestRateIndexMaturity(M13,G13,Trigger)</f>
        <v>41953</v>
      </c>
      <c r="I13" s="77">
        <f>_xll.qlIndexFixing(M13,F13,TRUE,InterestRatesTrigger)</f>
        <v>1.3629999999993053E-3</v>
      </c>
      <c r="J13" s="63" t="str">
        <f>Contribution!R13</f>
        <v>JPY3M2MD=</v>
      </c>
      <c r="K13" s="63"/>
      <c r="L13" s="110"/>
      <c r="M13" s="37" t="str">
        <f>_xll.qlLibor(,Currency,D13,YieldCurve,,Trigger)</f>
        <v>obj_004b0#0001</v>
      </c>
      <c r="N13" s="110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110"/>
      <c r="B14" s="96">
        <f t="shared" si="0"/>
        <v>95</v>
      </c>
      <c r="C14" s="88"/>
      <c r="D14" s="36" t="s">
        <v>27</v>
      </c>
      <c r="E14" s="36" t="s">
        <v>95</v>
      </c>
      <c r="F14" s="78">
        <f t="shared" si="1"/>
        <v>41886</v>
      </c>
      <c r="G14" s="78">
        <f>_xll.qlInterestRateIndexValueDate(M14,F14,Trigger)</f>
        <v>41890</v>
      </c>
      <c r="H14" s="78">
        <f>_xll.qlInterestRateIndexMaturity(M14,G14,Trigger)</f>
        <v>41981</v>
      </c>
      <c r="I14" s="77">
        <f>_xll.qlIndexFixing(M14,F14,TRUE,InterestRatesTrigger)</f>
        <v>1.3259999999799715E-3</v>
      </c>
      <c r="J14" s="63" t="str">
        <f>Contribution!R14</f>
        <v>JPY3M3MD=</v>
      </c>
      <c r="K14" s="63"/>
      <c r="L14" s="110"/>
      <c r="M14" s="54" t="str">
        <f>IborIndexFamily&amp;CurveTenor</f>
        <v>JpyLibor3M</v>
      </c>
      <c r="N14" s="110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110"/>
      <c r="B15" s="32">
        <v>1</v>
      </c>
      <c r="C15" s="98" t="s">
        <v>127</v>
      </c>
      <c r="D15" s="33" t="str">
        <f>B15+3&amp;"M"</f>
        <v>4M</v>
      </c>
      <c r="E15" s="33" t="s">
        <v>90</v>
      </c>
      <c r="F15" s="75">
        <f>_xll.qlInterestRateIndexFixingDate(IborIndex,G15)</f>
        <v>41918</v>
      </c>
      <c r="G15" s="75">
        <f>_xll.qlCalendarAdvance(Calendar,SettlementDate,B15&amp;"M","mf",TRUE)</f>
        <v>41920</v>
      </c>
      <c r="H15" s="75">
        <f>_xll.qlInterestRateIndexMaturity(IborIndex,G15,Trigger)</f>
        <v>42012</v>
      </c>
      <c r="I15" s="76">
        <f>_xll.qlIndexFixing(IborIndex,F15,TRUE,InterestRatesTrigger)</f>
        <v>1.299999999999828E-3</v>
      </c>
      <c r="J15" s="64" t="str">
        <f>Contribution!R15</f>
        <v>JPY3M1x4F=</v>
      </c>
      <c r="K15" s="64" t="str">
        <f t="shared" ref="K15:K20" si="2">Currency&amp;B15&amp;C15&amp;SUBSTITUTE(D15,"M","F")&amp;"=ICAP"</f>
        <v>JPY1X4F=ICAP</v>
      </c>
      <c r="L15" s="110"/>
      <c r="M15" s="111"/>
      <c r="N15" s="110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110"/>
      <c r="B16" s="35">
        <v>2</v>
      </c>
      <c r="C16" s="99" t="s">
        <v>127</v>
      </c>
      <c r="D16" s="36" t="str">
        <f t="shared" ref="D16:D24" si="3">B16+3&amp;"M"</f>
        <v>5M</v>
      </c>
      <c r="E16" s="36" t="s">
        <v>90</v>
      </c>
      <c r="F16" s="78">
        <f>_xll.qlInterestRateIndexFixingDate(IborIndex,G16)</f>
        <v>41949</v>
      </c>
      <c r="G16" s="78">
        <f>_xll.qlCalendarAdvance(Calendar,SettlementDate,B16&amp;"M","mf",TRUE)</f>
        <v>41953</v>
      </c>
      <c r="H16" s="78">
        <f>_xll.qlInterestRateIndexMaturity(IborIndex,G16,Trigger)</f>
        <v>42045</v>
      </c>
      <c r="I16" s="77">
        <f>_xll.qlIndexFixing(IborIndex,F16,TRUE,InterestRatesTrigger)</f>
        <v>1.299999999999828E-3</v>
      </c>
      <c r="J16" s="63" t="str">
        <f>Contribution!R16</f>
        <v>JPY3M2x5F=</v>
      </c>
      <c r="K16" s="63" t="str">
        <f t="shared" si="2"/>
        <v>JPY2X5F=ICAP</v>
      </c>
      <c r="L16" s="110"/>
      <c r="M16" s="110"/>
      <c r="N16" s="110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110"/>
      <c r="B17" s="35">
        <v>3</v>
      </c>
      <c r="C17" s="99" t="s">
        <v>127</v>
      </c>
      <c r="D17" s="36" t="str">
        <f t="shared" si="3"/>
        <v>6M</v>
      </c>
      <c r="E17" s="36" t="s">
        <v>90</v>
      </c>
      <c r="F17" s="78">
        <f>_xll.qlInterestRateIndexFixingDate(IborIndex,G17)</f>
        <v>41977</v>
      </c>
      <c r="G17" s="78">
        <f>_xll.qlCalendarAdvance(Calendar,SettlementDate,B17&amp;"M","mf",TRUE)</f>
        <v>41981</v>
      </c>
      <c r="H17" s="78">
        <f>_xll.qlInterestRateIndexMaturity(IborIndex,G17,Trigger)</f>
        <v>42072</v>
      </c>
      <c r="I17" s="77">
        <f>_xll.qlIndexFixing(IborIndex,F17,TRUE,InterestRatesTrigger)</f>
        <v>1.2999999999808464E-3</v>
      </c>
      <c r="J17" s="63" t="str">
        <f>Contribution!R17</f>
        <v>JPY3M3x6F=</v>
      </c>
      <c r="K17" s="63" t="str">
        <f t="shared" si="2"/>
        <v>JPY3X6F=ICAP</v>
      </c>
      <c r="L17" s="110"/>
      <c r="M17" s="110"/>
      <c r="N17" s="110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110"/>
      <c r="B18" s="35">
        <v>4</v>
      </c>
      <c r="C18" s="99" t="s">
        <v>127</v>
      </c>
      <c r="D18" s="36" t="str">
        <f t="shared" si="3"/>
        <v>7M</v>
      </c>
      <c r="E18" s="36" t="s">
        <v>90</v>
      </c>
      <c r="F18" s="78">
        <f>_xll.qlInterestRateIndexFixingDate(IborIndex,G18)</f>
        <v>42010</v>
      </c>
      <c r="G18" s="78">
        <f>_xll.qlCalendarAdvance(Calendar,SettlementDate,B18&amp;"M","mf",TRUE)</f>
        <v>42012</v>
      </c>
      <c r="H18" s="78">
        <f>_xll.qlInterestRateIndexMaturity(IborIndex,G18,Trigger)</f>
        <v>42102</v>
      </c>
      <c r="I18" s="77">
        <f>_xll.qlIndexFixing(IborIndex,F18,TRUE,InterestRatesTrigger)</f>
        <v>1.2999999999996348E-3</v>
      </c>
      <c r="J18" s="63" t="str">
        <f>Contribution!R18</f>
        <v>JPY3M4x7F=</v>
      </c>
      <c r="K18" s="63" t="str">
        <f t="shared" si="2"/>
        <v>JPY4X7F=ICAP</v>
      </c>
      <c r="L18" s="110"/>
      <c r="M18" s="110"/>
      <c r="N18" s="110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110"/>
      <c r="B19" s="35">
        <v>5</v>
      </c>
      <c r="C19" s="99" t="s">
        <v>127</v>
      </c>
      <c r="D19" s="36" t="str">
        <f t="shared" si="3"/>
        <v>8M</v>
      </c>
      <c r="E19" s="36" t="s">
        <v>90</v>
      </c>
      <c r="F19" s="78">
        <f>_xll.qlInterestRateIndexFixingDate(IborIndex,G19)</f>
        <v>42040</v>
      </c>
      <c r="G19" s="78">
        <f>_xll.qlCalendarAdvance(Calendar,SettlementDate,B19&amp;"M","mf",TRUE)</f>
        <v>42044</v>
      </c>
      <c r="H19" s="78">
        <f>_xll.qlInterestRateIndexMaturity(IborIndex,G19,Trigger)</f>
        <v>42135</v>
      </c>
      <c r="I19" s="77">
        <f>_xll.qlIndexFixing(IborIndex,F19,TRUE,InterestRatesTrigger)</f>
        <v>1.2999999996189382E-3</v>
      </c>
      <c r="J19" s="63" t="str">
        <f>Contribution!R19</f>
        <v>JPY3M5x8F=</v>
      </c>
      <c r="K19" s="63" t="str">
        <f t="shared" si="2"/>
        <v>JPY5X8F=ICAP</v>
      </c>
      <c r="L19" s="110"/>
      <c r="M19" s="110"/>
      <c r="N19" s="110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110"/>
      <c r="B20" s="35">
        <v>6</v>
      </c>
      <c r="C20" s="99" t="s">
        <v>127</v>
      </c>
      <c r="D20" s="36" t="str">
        <f t="shared" si="3"/>
        <v>9M</v>
      </c>
      <c r="E20" s="36" t="s">
        <v>90</v>
      </c>
      <c r="F20" s="78">
        <f>_xll.qlInterestRateIndexFixingDate(IborIndex,G20)</f>
        <v>42068</v>
      </c>
      <c r="G20" s="78">
        <f>_xll.qlCalendarAdvance(Calendar,SettlementDate,B20&amp;"M","mf",TRUE)</f>
        <v>42072</v>
      </c>
      <c r="H20" s="78">
        <f>_xll.qlInterestRateIndexMaturity(IborIndex,G20,Trigger)</f>
        <v>42164</v>
      </c>
      <c r="I20" s="77">
        <f>_xll.qlIndexFixing(IborIndex,F20,TRUE,InterestRatesTrigger)</f>
        <v>1.299999999999828E-3</v>
      </c>
      <c r="J20" s="63" t="str">
        <f>Contribution!R20</f>
        <v>JPY3M6x9F=</v>
      </c>
      <c r="K20" s="63" t="str">
        <f t="shared" si="2"/>
        <v>JPY6X9F=ICAP</v>
      </c>
      <c r="L20" s="110"/>
      <c r="M20" s="110"/>
      <c r="N20" s="110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110"/>
      <c r="B21" s="35">
        <v>7</v>
      </c>
      <c r="C21" s="99" t="s">
        <v>127</v>
      </c>
      <c r="D21" s="36" t="str">
        <f t="shared" si="3"/>
        <v>10M</v>
      </c>
      <c r="E21" s="36" t="s">
        <v>90</v>
      </c>
      <c r="F21" s="78">
        <f>_xll.qlInterestRateIndexFixingDate(IborIndex,G21)</f>
        <v>42096</v>
      </c>
      <c r="G21" s="78">
        <f>_xll.qlCalendarAdvance(Calendar,SettlementDate,B21&amp;"M","mf",TRUE)</f>
        <v>42102</v>
      </c>
      <c r="H21" s="78">
        <f>_xll.qlInterestRateIndexMaturity(IborIndex,G21,Trigger)</f>
        <v>42193</v>
      </c>
      <c r="I21" s="77">
        <f>_xll.qlIndexFixing(IborIndex,F21,TRUE,InterestRatesTrigger)</f>
        <v>1.2875279957330194E-3</v>
      </c>
      <c r="J21" s="63"/>
      <c r="K21" s="63"/>
      <c r="L21" s="110"/>
      <c r="M21" s="113"/>
      <c r="N21" s="110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110"/>
      <c r="B22" s="35">
        <v>8</v>
      </c>
      <c r="C22" s="99" t="s">
        <v>127</v>
      </c>
      <c r="D22" s="36" t="str">
        <f t="shared" si="3"/>
        <v>11M</v>
      </c>
      <c r="E22" s="36" t="s">
        <v>90</v>
      </c>
      <c r="F22" s="78">
        <f>_xll.qlInterestRateIndexFixingDate(IborIndex,G22)</f>
        <v>42130</v>
      </c>
      <c r="G22" s="78">
        <f>_xll.qlCalendarAdvance(Calendar,SettlementDate,B22&amp;"M","mf",TRUE)</f>
        <v>42132</v>
      </c>
      <c r="H22" s="78">
        <f>_xll.qlInterestRateIndexMaturity(IborIndex,G22,Trigger)</f>
        <v>42226</v>
      </c>
      <c r="I22" s="77">
        <f>_xll.qlIndexFixing(IborIndex,F22,TRUE,InterestRatesTrigger)</f>
        <v>1.2766985082562317E-3</v>
      </c>
      <c r="J22" s="63"/>
      <c r="K22" s="63"/>
      <c r="L22" s="110"/>
      <c r="M22" s="110"/>
      <c r="N22" s="110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110"/>
      <c r="B23" s="35">
        <v>9</v>
      </c>
      <c r="C23" s="99" t="s">
        <v>127</v>
      </c>
      <c r="D23" s="36" t="str">
        <f t="shared" si="3"/>
        <v>12M</v>
      </c>
      <c r="E23" s="36" t="s">
        <v>90</v>
      </c>
      <c r="F23" s="78">
        <f>_xll.qlInterestRateIndexFixingDate(IborIndex,G23)</f>
        <v>42159</v>
      </c>
      <c r="G23" s="78">
        <f>_xll.qlCalendarAdvance(Calendar,SettlementDate,B23&amp;"M","mf",TRUE)</f>
        <v>42163</v>
      </c>
      <c r="H23" s="78">
        <f>_xll.qlInterestRateIndexMaturity(IborIndex,G23,Trigger)</f>
        <v>42255</v>
      </c>
      <c r="I23" s="77">
        <f>_xll.qlIndexFixing(IborIndex,F23,TRUE,InterestRatesTrigger)</f>
        <v>1.2999999998451691E-3</v>
      </c>
      <c r="J23" s="63" t="str">
        <f>Contribution!R23</f>
        <v>JPY3M9x12F=</v>
      </c>
      <c r="K23" s="63" t="str">
        <f>Currency&amp;B23&amp;C23&amp;SUBSTITUTE(D23,"M","F")&amp;"=ICAP"</f>
        <v>JPY9X12F=ICAP</v>
      </c>
      <c r="L23" s="110"/>
      <c r="M23" s="110"/>
      <c r="N23" s="110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110"/>
      <c r="B24" s="35">
        <v>12</v>
      </c>
      <c r="C24" s="100" t="s">
        <v>127</v>
      </c>
      <c r="D24" s="36" t="str">
        <f t="shared" si="3"/>
        <v>15M</v>
      </c>
      <c r="E24" s="36" t="s">
        <v>90</v>
      </c>
      <c r="F24" s="78">
        <f>_xll.qlInterestRateIndexFixingDate(IborIndex,G24)</f>
        <v>42251</v>
      </c>
      <c r="G24" s="78">
        <f>_xll.qlCalendarAdvance(Calendar,SettlementDate,B24&amp;"M","mf",TRUE)</f>
        <v>42255</v>
      </c>
      <c r="H24" s="78">
        <f>_xll.qlInterestRateIndexMaturity(IborIndex,G24,Trigger)</f>
        <v>42346</v>
      </c>
      <c r="I24" s="77">
        <f>_xll.qlIndexFixing(IborIndex,F24,TRUE,InterestRatesTrigger)</f>
        <v>1.3000000000001717E-3</v>
      </c>
      <c r="J24" s="63" t="str">
        <f>Contribution!R24</f>
        <v>JPY3M12x15F=</v>
      </c>
      <c r="K24" s="63" t="str">
        <f>Currency&amp;B24&amp;C24&amp;SUBSTITUTE(D24,"M","F")&amp;"=ICAP"</f>
        <v>JPY12X15F=ICAP</v>
      </c>
      <c r="L24" s="110"/>
      <c r="M24" s="8" t="s">
        <v>56</v>
      </c>
      <c r="N24" s="110"/>
      <c r="O24" s="8" t="s">
        <v>51</v>
      </c>
      <c r="P24" s="8" t="s">
        <v>126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110"/>
      <c r="B25" s="89"/>
      <c r="C25" s="91"/>
      <c r="D25" s="33" t="s">
        <v>112</v>
      </c>
      <c r="E25" s="33" t="s">
        <v>94</v>
      </c>
      <c r="F25" s="75">
        <f t="shared" ref="F25" si="4">EvaluationDate</f>
        <v>41886</v>
      </c>
      <c r="G25" s="75">
        <f>_xll.qlInterestRateIndexValueDate(M25,F25,Trigger)</f>
        <v>41890</v>
      </c>
      <c r="H25" s="75">
        <f>_xll.qlInterestRateIndexMaturity(M25,G25,Trigger)</f>
        <v>42437</v>
      </c>
      <c r="I25" s="76">
        <f>_xll.qlIndexFixing(M25,F25,TRUE,InterestRatesTrigger)</f>
        <v>1.3226530457782998E-3</v>
      </c>
      <c r="J25" s="64" t="str">
        <f>Contribution!R25</f>
        <v>JPY3M18M=</v>
      </c>
      <c r="K25" s="64"/>
      <c r="L25" s="110"/>
      <c r="M25" s="37" t="str">
        <f>_xll.qlSwapIndex(,"Libor",D25,SettlementDays,Currency,Calendar,FixedLegTenor,FixedLegBDC,FixedLegDayCounter,IborIndex,"JPYON",,Trigger)</f>
        <v>obj_004ba#0001</v>
      </c>
      <c r="N25" s="110"/>
      <c r="O25" s="37" t="s">
        <v>18</v>
      </c>
      <c r="P25" s="37" t="s">
        <v>87</v>
      </c>
      <c r="Q25" s="37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110"/>
      <c r="B26" s="90"/>
      <c r="C26" s="92"/>
      <c r="D26" s="36" t="s">
        <v>36</v>
      </c>
      <c r="E26" s="36" t="s">
        <v>94</v>
      </c>
      <c r="F26" s="78">
        <f t="shared" ref="F26:F39" si="5">EvaluationDate</f>
        <v>41886</v>
      </c>
      <c r="G26" s="78">
        <f>_xll.qlInterestRateIndexValueDate(M26,F26,Trigger)</f>
        <v>41890</v>
      </c>
      <c r="H26" s="78">
        <f>_xll.qlInterestRateIndexMaturity(M26,G26,Trigger)</f>
        <v>42621</v>
      </c>
      <c r="I26" s="77">
        <f>_xll.qlIndexFixing(M26,F26,TRUE,InterestRatesTrigger)</f>
        <v>1.3183680926593796E-3</v>
      </c>
      <c r="J26" s="63" t="str">
        <f>Contribution!R26</f>
        <v>JPY3M2Y=</v>
      </c>
      <c r="K26" s="63"/>
      <c r="L26" s="110"/>
      <c r="M26" s="37" t="str">
        <f>_xll.qlSwapIndex(,"Libor",D26,SettlementDays,Currency,Calendar,FixedLegTenor,FixedLegBDC,FixedLegDayCounter,IborIndex,"JPYON",,Trigger)</f>
        <v>obj_004be#0001</v>
      </c>
      <c r="N26" s="110"/>
      <c r="O26" s="111"/>
      <c r="P26" s="111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110"/>
      <c r="B27" s="90"/>
      <c r="C27" s="86"/>
      <c r="D27" s="36" t="s">
        <v>37</v>
      </c>
      <c r="E27" s="36" t="s">
        <v>94</v>
      </c>
      <c r="F27" s="78">
        <f t="shared" si="5"/>
        <v>41886</v>
      </c>
      <c r="G27" s="78">
        <f>_xll.qlInterestRateIndexValueDate(M27,F27,Trigger)</f>
        <v>41890</v>
      </c>
      <c r="H27" s="78">
        <f>_xll.qlInterestRateIndexMaturity(M27,G27,Trigger)</f>
        <v>42986</v>
      </c>
      <c r="I27" s="77">
        <f>_xll.qlIndexFixing(M27,F27,TRUE,InterestRatesTrigger)</f>
        <v>1.3926656100843836E-3</v>
      </c>
      <c r="J27" s="63" t="str">
        <f>Contribution!R27</f>
        <v>JPY3M3Y=</v>
      </c>
      <c r="K27" s="63"/>
      <c r="L27" s="110"/>
      <c r="M27" s="37" t="str">
        <f>_xll.qlSwapIndex(,"Libor",D27,SettlementDays,Currency,Calendar,FixedLegTenor,FixedLegBDC,FixedLegDayCounter,IborIndex,"JPYON",,Trigger)</f>
        <v>obj_004c5#0001</v>
      </c>
      <c r="N27" s="110"/>
      <c r="O27" s="110"/>
      <c r="P27" s="110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110"/>
      <c r="B28" s="90"/>
      <c r="C28" s="86"/>
      <c r="D28" s="36" t="s">
        <v>38</v>
      </c>
      <c r="E28" s="36" t="s">
        <v>94</v>
      </c>
      <c r="F28" s="78">
        <f t="shared" si="5"/>
        <v>41886</v>
      </c>
      <c r="G28" s="78">
        <f>_xll.qlInterestRateIndexValueDate(M28,F28,Trigger)</f>
        <v>41890</v>
      </c>
      <c r="H28" s="78">
        <f>_xll.qlInterestRateIndexMaturity(M28,G28,Trigger)</f>
        <v>43353</v>
      </c>
      <c r="I28" s="77">
        <f>_xll.qlIndexFixing(M28,F28,TRUE,InterestRatesTrigger)</f>
        <v>1.6423003085041044E-3</v>
      </c>
      <c r="J28" s="63" t="str">
        <f>Contribution!R28</f>
        <v>JPY3M4Y=</v>
      </c>
      <c r="K28" s="63"/>
      <c r="L28" s="110"/>
      <c r="M28" s="37" t="str">
        <f>_xll.qlSwapIndex(,"Libor",D28,SettlementDays,Currency,Calendar,FixedLegTenor,FixedLegBDC,FixedLegDayCounter,IborIndex,"JPYON",,Trigger)</f>
        <v>obj_004d2#0001</v>
      </c>
      <c r="N28" s="110"/>
      <c r="O28" s="110"/>
      <c r="P28" s="110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110"/>
      <c r="B29" s="90"/>
      <c r="C29" s="86"/>
      <c r="D29" s="36" t="s">
        <v>39</v>
      </c>
      <c r="E29" s="36" t="s">
        <v>94</v>
      </c>
      <c r="F29" s="78">
        <f t="shared" si="5"/>
        <v>41886</v>
      </c>
      <c r="G29" s="78">
        <f>_xll.qlInterestRateIndexValueDate(M29,F29,Trigger)</f>
        <v>41890</v>
      </c>
      <c r="H29" s="78">
        <f>_xll.qlInterestRateIndexMaturity(M29,G29,Trigger)</f>
        <v>43717</v>
      </c>
      <c r="I29" s="77">
        <f>_xll.qlIndexFixing(M29,F29,TRUE,InterestRatesTrigger)</f>
        <v>2.0165722762481636E-3</v>
      </c>
      <c r="J29" s="63" t="str">
        <f>Contribution!R29</f>
        <v>JPY3M5Y=</v>
      </c>
      <c r="K29" s="63"/>
      <c r="L29" s="110"/>
      <c r="M29" s="37" t="str">
        <f>_xll.qlSwapIndex(,"Libor",D29,SettlementDays,Currency,Calendar,FixedLegTenor,FixedLegBDC,FixedLegDayCounter,IborIndex,"JPYON",,Trigger)</f>
        <v>obj_004d1#0001</v>
      </c>
      <c r="N29" s="110"/>
      <c r="O29" s="110"/>
      <c r="P29" s="110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110"/>
      <c r="B30" s="90"/>
      <c r="C30" s="86"/>
      <c r="D30" s="36" t="s">
        <v>40</v>
      </c>
      <c r="E30" s="36" t="s">
        <v>94</v>
      </c>
      <c r="F30" s="78">
        <f t="shared" si="5"/>
        <v>41886</v>
      </c>
      <c r="G30" s="78">
        <f>_xll.qlInterestRateIndexValueDate(M30,F30,Trigger)</f>
        <v>41890</v>
      </c>
      <c r="H30" s="78">
        <f>_xll.qlInterestRateIndexMaturity(M30,G30,Trigger)</f>
        <v>44082</v>
      </c>
      <c r="I30" s="77">
        <f>_xll.qlIndexFixing(M30,F30,TRUE,InterestRatesTrigger)</f>
        <v>2.5154811980297653E-3</v>
      </c>
      <c r="J30" s="63" t="str">
        <f>Contribution!R30</f>
        <v>JPY3M6Y=</v>
      </c>
      <c r="K30" s="63"/>
      <c r="L30" s="110"/>
      <c r="M30" s="37" t="str">
        <f>_xll.qlSwapIndex(,"Libor",D30,SettlementDays,Currency,Calendar,FixedLegTenor,FixedLegBDC,FixedLegDayCounter,IborIndex,"JPYON",,Trigger)</f>
        <v>obj_004bf#0001</v>
      </c>
      <c r="N30" s="110"/>
      <c r="O30" s="110"/>
      <c r="P30" s="110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110"/>
      <c r="B31" s="90"/>
      <c r="C31" s="86"/>
      <c r="D31" s="36" t="s">
        <v>41</v>
      </c>
      <c r="E31" s="36" t="s">
        <v>94</v>
      </c>
      <c r="F31" s="78">
        <f t="shared" si="5"/>
        <v>41886</v>
      </c>
      <c r="G31" s="78">
        <f>_xll.qlInterestRateIndexValueDate(M31,F31,Trigger)</f>
        <v>41890</v>
      </c>
      <c r="H31" s="78">
        <f>_xll.qlInterestRateIndexMaturity(M31,G31,Trigger)</f>
        <v>44447</v>
      </c>
      <c r="I31" s="77">
        <f>_xll.qlIndexFixing(M31,F31,TRUE,InterestRatesTrigger)</f>
        <v>3.1393748409405827E-3</v>
      </c>
      <c r="J31" s="63" t="str">
        <f>Contribution!R31</f>
        <v>JPY3M7Y=</v>
      </c>
      <c r="K31" s="63"/>
      <c r="L31" s="110"/>
      <c r="M31" s="37" t="str">
        <f>_xll.qlSwapIndex(,"Libor",D31,SettlementDays,Currency,Calendar,FixedLegTenor,FixedLegBDC,FixedLegDayCounter,IborIndex,"JPYON",,Trigger)</f>
        <v>obj_004c0#0001</v>
      </c>
      <c r="N31" s="110"/>
      <c r="O31" s="110"/>
      <c r="P31" s="110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110"/>
      <c r="B32" s="90"/>
      <c r="C32" s="86"/>
      <c r="D32" s="36" t="s">
        <v>42</v>
      </c>
      <c r="E32" s="36" t="s">
        <v>94</v>
      </c>
      <c r="F32" s="78">
        <f t="shared" si="5"/>
        <v>41886</v>
      </c>
      <c r="G32" s="78">
        <f>_xll.qlInterestRateIndexValueDate(M32,F32,Trigger)</f>
        <v>41890</v>
      </c>
      <c r="H32" s="78">
        <f>_xll.qlInterestRateIndexMaturity(M32,G32,Trigger)</f>
        <v>44812</v>
      </c>
      <c r="I32" s="77">
        <f>_xll.qlIndexFixing(M32,F32,TRUE,InterestRatesTrigger)</f>
        <v>3.8382535061613761E-3</v>
      </c>
      <c r="J32" s="63" t="str">
        <f>Contribution!R32</f>
        <v>JPY3M8Y=</v>
      </c>
      <c r="K32" s="63"/>
      <c r="L32" s="110"/>
      <c r="M32" s="37" t="str">
        <f>_xll.qlSwapIndex(,"Libor",D32,SettlementDays,Currency,Calendar,FixedLegTenor,FixedLegBDC,FixedLegDayCounter,IborIndex,"JPYON",,Trigger)</f>
        <v>obj_004cd#0001</v>
      </c>
      <c r="N32" s="110"/>
      <c r="O32" s="110"/>
      <c r="P32" s="110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110"/>
      <c r="B33" s="90"/>
      <c r="C33" s="86"/>
      <c r="D33" s="36" t="s">
        <v>43</v>
      </c>
      <c r="E33" s="36" t="s">
        <v>94</v>
      </c>
      <c r="F33" s="78">
        <f t="shared" si="5"/>
        <v>41886</v>
      </c>
      <c r="G33" s="78">
        <f>_xll.qlInterestRateIndexValueDate(M33,F33,Trigger)</f>
        <v>41890</v>
      </c>
      <c r="H33" s="78">
        <f>_xll.qlInterestRateIndexMaturity(M33,G33,Trigger)</f>
        <v>45177</v>
      </c>
      <c r="I33" s="77">
        <f>_xll.qlIndexFixing(M33,F33,TRUE,InterestRatesTrigger)</f>
        <v>4.5871130063638559E-3</v>
      </c>
      <c r="J33" s="63" t="str">
        <f>Contribution!R33</f>
        <v>JPY3M9Y=</v>
      </c>
      <c r="K33" s="63"/>
      <c r="L33" s="110"/>
      <c r="M33" s="37" t="str">
        <f>_xll.qlSwapIndex(,"Libor",D33,SettlementDays,Currency,Calendar,FixedLegTenor,FixedLegBDC,FixedLegDayCounter,IborIndex,"JPYON",,Trigger)</f>
        <v>obj_004cf#0001</v>
      </c>
      <c r="N33" s="110"/>
      <c r="O33" s="110"/>
      <c r="P33" s="110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110"/>
      <c r="B34" s="90"/>
      <c r="C34" s="86"/>
      <c r="D34" s="36" t="s">
        <v>44</v>
      </c>
      <c r="E34" s="36" t="s">
        <v>94</v>
      </c>
      <c r="F34" s="78">
        <f t="shared" si="5"/>
        <v>41886</v>
      </c>
      <c r="G34" s="78">
        <f>_xll.qlInterestRateIndexValueDate(M34,F34,Trigger)</f>
        <v>41890</v>
      </c>
      <c r="H34" s="78">
        <f>_xll.qlInterestRateIndexMaturity(M34,G34,Trigger)</f>
        <v>45544</v>
      </c>
      <c r="I34" s="77">
        <f>_xll.qlIndexFixing(M34,F34,TRUE,InterestRatesTrigger)</f>
        <v>5.3613141363570834E-3</v>
      </c>
      <c r="J34" s="63" t="str">
        <f>Contribution!R34</f>
        <v>JPY3M10Y=</v>
      </c>
      <c r="K34" s="63"/>
      <c r="L34" s="110"/>
      <c r="M34" s="37" t="str">
        <f>_xll.qlSwapIndex(,"Libor",D34,SettlementDays,Currency,Calendar,FixedLegTenor,FixedLegBDC,FixedLegDayCounter,IborIndex,"JPYON",,Trigger)</f>
        <v>obj_004b7#0001</v>
      </c>
      <c r="N34" s="110"/>
      <c r="O34" s="110"/>
      <c r="P34" s="110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110"/>
      <c r="B35" s="90"/>
      <c r="C35" s="86"/>
      <c r="D35" s="36" t="s">
        <v>45</v>
      </c>
      <c r="E35" s="36" t="s">
        <v>94</v>
      </c>
      <c r="F35" s="78">
        <f t="shared" si="5"/>
        <v>41886</v>
      </c>
      <c r="G35" s="78">
        <f>_xll.qlInterestRateIndexValueDate(M35,F35,Trigger)</f>
        <v>41890</v>
      </c>
      <c r="H35" s="78">
        <f>_xll.qlInterestRateIndexMaturity(M35,G35,Trigger)</f>
        <v>46273</v>
      </c>
      <c r="I35" s="77">
        <f>_xll.qlIndexFixing(M35,F35,TRUE,InterestRatesTrigger)</f>
        <v>6.9767609868303321E-3</v>
      </c>
      <c r="J35" s="63" t="str">
        <f>Contribution!R35</f>
        <v>JPY3M12Y=</v>
      </c>
      <c r="K35" s="63"/>
      <c r="L35" s="110"/>
      <c r="M35" s="37" t="str">
        <f>_xll.qlSwapIndex(,"Libor",D35,SettlementDays,Currency,Calendar,FixedLegTenor,FixedLegBDC,FixedLegDayCounter,IborIndex,"JPYON",,Trigger)</f>
        <v>obj_004b5#0001</v>
      </c>
      <c r="N35" s="110"/>
      <c r="O35" s="110"/>
      <c r="P35" s="110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110"/>
      <c r="B36" s="90"/>
      <c r="C36" s="86"/>
      <c r="D36" s="36" t="s">
        <v>46</v>
      </c>
      <c r="E36" s="36" t="s">
        <v>94</v>
      </c>
      <c r="F36" s="78">
        <f t="shared" si="5"/>
        <v>41886</v>
      </c>
      <c r="G36" s="78">
        <f>_xll.qlInterestRateIndexValueDate(M36,F36,Trigger)</f>
        <v>41890</v>
      </c>
      <c r="H36" s="78">
        <f>_xll.qlInterestRateIndexMaturity(M36,G36,Trigger)</f>
        <v>47371</v>
      </c>
      <c r="I36" s="77">
        <f>_xll.qlIndexFixing(M36,F36,TRUE,InterestRatesTrigger)</f>
        <v>9.3836068284197452E-3</v>
      </c>
      <c r="J36" s="63" t="str">
        <f>Contribution!R36</f>
        <v>JPY3M15Y=</v>
      </c>
      <c r="K36" s="63"/>
      <c r="L36" s="110"/>
      <c r="M36" s="37" t="str">
        <f>_xll.qlSwapIndex(,"Libor",D36,SettlementDays,Currency,Calendar,FixedLegTenor,FixedLegBDC,FixedLegDayCounter,IborIndex,"JPYON",,Trigger)</f>
        <v>obj_004bd#0001</v>
      </c>
      <c r="N36" s="110"/>
      <c r="O36" s="110"/>
      <c r="P36" s="110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110"/>
      <c r="B37" s="90"/>
      <c r="C37" s="86"/>
      <c r="D37" s="36" t="s">
        <v>47</v>
      </c>
      <c r="E37" s="36" t="s">
        <v>94</v>
      </c>
      <c r="F37" s="78">
        <f t="shared" si="5"/>
        <v>41886</v>
      </c>
      <c r="G37" s="78">
        <f>_xll.qlInterestRateIndexValueDate(M37,F37,Trigger)</f>
        <v>41890</v>
      </c>
      <c r="H37" s="78">
        <f>_xll.qlInterestRateIndexMaturity(M37,G37,Trigger)</f>
        <v>49195</v>
      </c>
      <c r="I37" s="77">
        <f>_xll.qlIndexFixing(M37,F37,TRUE,InterestRatesTrigger)</f>
        <v>1.2608165555307773E-2</v>
      </c>
      <c r="J37" s="63" t="str">
        <f>Contribution!R37</f>
        <v>JPY3M20Y=</v>
      </c>
      <c r="K37" s="63"/>
      <c r="L37" s="110"/>
      <c r="M37" s="37" t="str">
        <f>_xll.qlSwapIndex(,"Libor",D37,SettlementDays,Currency,Calendar,FixedLegTenor,FixedLegBDC,FixedLegDayCounter,IborIndex,"JPYON",,Trigger)</f>
        <v>obj_004c8#0001</v>
      </c>
      <c r="N37" s="110"/>
      <c r="O37" s="110"/>
      <c r="P37" s="110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110"/>
      <c r="B38" s="90"/>
      <c r="C38" s="86"/>
      <c r="D38" s="36" t="s">
        <v>48</v>
      </c>
      <c r="E38" s="36" t="s">
        <v>94</v>
      </c>
      <c r="F38" s="78">
        <f t="shared" si="5"/>
        <v>41886</v>
      </c>
      <c r="G38" s="78">
        <f>_xll.qlInterestRateIndexValueDate(M38,F38,Trigger)</f>
        <v>41890</v>
      </c>
      <c r="H38" s="78">
        <f>_xll.qlInterestRateIndexMaturity(M38,G38,Trigger)</f>
        <v>51021</v>
      </c>
      <c r="I38" s="77">
        <f>_xll.qlIndexFixing(M38,F38,TRUE,InterestRatesTrigger)</f>
        <v>1.4356636758017531E-2</v>
      </c>
      <c r="J38" s="63" t="str">
        <f>Contribution!R38</f>
        <v>JPY3M25Y=</v>
      </c>
      <c r="K38" s="63"/>
      <c r="L38" s="110"/>
      <c r="M38" s="37" t="str">
        <f>_xll.qlSwapIndex(,"Libor",D38,SettlementDays,Currency,Calendar,FixedLegTenor,FixedLegBDC,FixedLegDayCounter,IborIndex,"JPYON",,Trigger)</f>
        <v>obj_004c7#0001</v>
      </c>
      <c r="N38" s="110"/>
      <c r="O38" s="110"/>
      <c r="P38" s="110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110"/>
      <c r="B39" s="93"/>
      <c r="C39" s="94"/>
      <c r="D39" s="38" t="s">
        <v>49</v>
      </c>
      <c r="E39" s="38" t="s">
        <v>94</v>
      </c>
      <c r="F39" s="79">
        <f t="shared" si="5"/>
        <v>41886</v>
      </c>
      <c r="G39" s="79">
        <f>_xll.qlInterestRateIndexValueDate(M39,F39,Trigger)</f>
        <v>41890</v>
      </c>
      <c r="H39" s="79">
        <f>_xll.qlInterestRateIndexMaturity(M39,G39,Trigger)</f>
        <v>52848</v>
      </c>
      <c r="I39" s="80">
        <f>_xll.qlIndexFixing(M39,F39,TRUE,InterestRatesTrigger)</f>
        <v>1.5332407620945822E-2</v>
      </c>
      <c r="J39" s="65" t="str">
        <f>Contribution!R39</f>
        <v>JPY3M30Y=</v>
      </c>
      <c r="K39" s="65"/>
      <c r="L39" s="110"/>
      <c r="M39" s="39" t="str">
        <f>_xll.qlSwapIndex(,"Libor",D39,SettlementDays,Currency,Calendar,FixedLegTenor,FixedLegBDC,FixedLegDayCounter,IborIndex,"JPYON",,Trigger)</f>
        <v>obj_004bb#0001</v>
      </c>
      <c r="N39" s="110"/>
      <c r="O39" s="110"/>
      <c r="P39" s="110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110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10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10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10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61" customFormat="1" x14ac:dyDescent="0.2">
      <c r="A101" s="6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5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1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2"/>
      <c r="B1" s="11"/>
      <c r="C1" s="3"/>
      <c r="D1" s="3"/>
      <c r="E1" s="6"/>
      <c r="F1" s="6"/>
      <c r="G1" s="6"/>
      <c r="H1" s="6"/>
      <c r="I1" s="6"/>
      <c r="J1" s="2"/>
      <c r="K1" s="6"/>
      <c r="L1" s="6"/>
      <c r="M1" s="6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/>
      <c r="B2" s="118"/>
      <c r="C2" s="4"/>
      <c r="D2" s="4"/>
      <c r="E2" s="26" t="s">
        <v>124</v>
      </c>
      <c r="F2" s="40" t="s">
        <v>18</v>
      </c>
      <c r="G2" s="110"/>
      <c r="H2" s="110"/>
      <c r="I2" s="110"/>
      <c r="J2" s="66"/>
      <c r="K2" s="110"/>
      <c r="L2" s="110"/>
      <c r="M2" s="110"/>
      <c r="N2" s="110"/>
      <c r="O2" s="110"/>
      <c r="P2" s="110"/>
      <c r="Q2" s="110"/>
      <c r="R2" s="110"/>
      <c r="S2" s="66"/>
      <c r="T2" s="2"/>
      <c r="U2" s="2"/>
      <c r="V2" s="2"/>
      <c r="W2" s="2"/>
      <c r="X2" s="2"/>
      <c r="Y2" s="2"/>
      <c r="Z2" s="2"/>
    </row>
    <row r="3" spans="1:26" x14ac:dyDescent="0.2">
      <c r="A3" s="4"/>
      <c r="B3" s="118"/>
      <c r="C3" s="4"/>
      <c r="D3" s="3"/>
      <c r="E3" s="26" t="s">
        <v>125</v>
      </c>
      <c r="F3" s="22" t="str">
        <f>Currency&amp;CurveTenor</f>
        <v>JPY6M</v>
      </c>
      <c r="G3" s="110"/>
      <c r="H3" s="110"/>
      <c r="I3" s="110"/>
      <c r="J3" s="66"/>
      <c r="K3" s="6"/>
      <c r="L3" s="6"/>
      <c r="M3" s="110"/>
      <c r="N3" s="6"/>
      <c r="O3" s="110"/>
      <c r="P3" s="110"/>
      <c r="Q3" s="110"/>
      <c r="R3" s="110"/>
      <c r="S3" s="66"/>
      <c r="T3" s="2"/>
      <c r="U3" s="2"/>
      <c r="V3" s="2"/>
      <c r="W3" s="2"/>
      <c r="X3" s="2"/>
      <c r="Y3" s="2"/>
      <c r="Z3" s="2"/>
    </row>
    <row r="4" spans="1:26" x14ac:dyDescent="0.2">
      <c r="A4" s="4"/>
      <c r="B4" s="118"/>
      <c r="C4" s="4"/>
      <c r="D4" s="4"/>
      <c r="E4" s="110"/>
      <c r="F4" s="110"/>
      <c r="G4" s="110"/>
      <c r="H4" s="110"/>
      <c r="I4" s="110"/>
      <c r="J4" s="66"/>
      <c r="K4" s="110"/>
      <c r="L4" s="110"/>
      <c r="M4" s="110"/>
      <c r="N4" s="110"/>
      <c r="O4" s="110"/>
      <c r="P4" s="110"/>
      <c r="Q4" s="110"/>
      <c r="R4" s="110"/>
      <c r="S4" s="66"/>
      <c r="T4" s="2"/>
      <c r="U4" s="2"/>
      <c r="V4" s="2"/>
      <c r="W4" s="2"/>
      <c r="X4" s="2"/>
      <c r="Y4" s="2"/>
      <c r="Z4" s="2"/>
    </row>
    <row r="5" spans="1:26" x14ac:dyDescent="0.2">
      <c r="A5" s="4"/>
      <c r="B5" s="51"/>
      <c r="C5" s="52"/>
      <c r="D5" s="53"/>
      <c r="E5" s="30" t="s">
        <v>57</v>
      </c>
      <c r="F5" s="30" t="s">
        <v>91</v>
      </c>
      <c r="G5" s="30" t="s">
        <v>120</v>
      </c>
      <c r="H5" s="30" t="s">
        <v>55</v>
      </c>
      <c r="I5" s="31" t="s">
        <v>54</v>
      </c>
      <c r="J5" s="30" t="s">
        <v>122</v>
      </c>
      <c r="K5" s="30" t="s">
        <v>123</v>
      </c>
      <c r="L5" s="66"/>
      <c r="M5" s="26" t="s">
        <v>92</v>
      </c>
      <c r="N5" s="4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4"/>
      <c r="B6" s="71">
        <f t="shared" ref="B6:B17" si="0">H6-EvaluationDate</f>
        <v>1</v>
      </c>
      <c r="C6" s="42"/>
      <c r="D6" s="23" t="s">
        <v>19</v>
      </c>
      <c r="E6" s="33" t="s">
        <v>93</v>
      </c>
      <c r="F6" s="75">
        <f t="shared" ref="F6:F17" si="1">EvaluationDate</f>
        <v>41886</v>
      </c>
      <c r="G6" s="75">
        <f>EvaluationDate</f>
        <v>41886</v>
      </c>
      <c r="H6" s="75">
        <f>_xll.qlCalendarAdvance(Calendar,EvaluationDate,"1D","f",TRUE,Trigger)</f>
        <v>41887</v>
      </c>
      <c r="I6" s="85">
        <f>_xll.qlInterpolationInterpolate($M$6,B6,TRUE)</f>
        <v>1.6164352967478054E-3</v>
      </c>
      <c r="J6" s="101" t="str">
        <f>Contribution!V6</f>
        <v>JPY6MOND=</v>
      </c>
      <c r="K6" s="101"/>
      <c r="L6" s="66"/>
      <c r="M6" s="22" t="str">
        <f>_xll.qlInterpolation(,InterpolationType,B8:B17,I8:I17,,Trigger)</f>
        <v>obj_004d4#0001</v>
      </c>
      <c r="N6" s="4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4"/>
      <c r="B7" s="72">
        <f t="shared" si="0"/>
        <v>4</v>
      </c>
      <c r="C7" s="44"/>
      <c r="D7" s="24" t="s">
        <v>20</v>
      </c>
      <c r="E7" s="36" t="s">
        <v>93</v>
      </c>
      <c r="F7" s="78">
        <f t="shared" si="1"/>
        <v>41886</v>
      </c>
      <c r="G7" s="78">
        <f>H6</f>
        <v>41887</v>
      </c>
      <c r="H7" s="78">
        <f>_xll.qlCalendarAdvance(Calendar,EvaluationDate,"2D","f",TRUE,Trigger)</f>
        <v>41890</v>
      </c>
      <c r="I7" s="83">
        <f>_xll.qlInterpolationInterpolate($M$6,B7,TRUE)</f>
        <v>1.6170447474085955E-3</v>
      </c>
      <c r="J7" s="102" t="str">
        <f>Contribution!V7</f>
        <v>JPY6MTND=</v>
      </c>
      <c r="K7" s="102"/>
      <c r="L7" s="66"/>
      <c r="M7" s="8" t="s">
        <v>50</v>
      </c>
      <c r="N7" s="4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4"/>
      <c r="B8" s="71">
        <f t="shared" si="0"/>
        <v>5</v>
      </c>
      <c r="C8" s="45"/>
      <c r="D8" s="23" t="s">
        <v>21</v>
      </c>
      <c r="E8" s="33" t="s">
        <v>95</v>
      </c>
      <c r="F8" s="75">
        <f t="shared" si="1"/>
        <v>41886</v>
      </c>
      <c r="G8" s="75">
        <f>_xll.qlInterestRateIndexValueDate(M8,F8,Trigger)</f>
        <v>41890</v>
      </c>
      <c r="H8" s="75">
        <f>_xll.qlInterestRateIndexMaturity(M8,G8,Trigger)</f>
        <v>41891</v>
      </c>
      <c r="I8" s="76">
        <f>_xll.qlIndexFixing(M8,F8,TRUE,InterestRatesTrigger)</f>
        <v>1.617213941003115E-3</v>
      </c>
      <c r="J8" s="101" t="str">
        <f>Contribution!V8</f>
        <v>JPY6MSND=</v>
      </c>
      <c r="K8" s="101"/>
      <c r="L8" s="66"/>
      <c r="M8" s="34" t="str">
        <f>_xll.qlLibor(,Currency,D8,YieldCurve,,Trigger)</f>
        <v>obj_00489#0001</v>
      </c>
      <c r="N8" s="4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4"/>
      <c r="B9" s="72">
        <f t="shared" si="0"/>
        <v>12</v>
      </c>
      <c r="C9" s="46"/>
      <c r="D9" s="24" t="s">
        <v>22</v>
      </c>
      <c r="E9" s="36" t="s">
        <v>95</v>
      </c>
      <c r="F9" s="78">
        <f t="shared" si="1"/>
        <v>41886</v>
      </c>
      <c r="G9" s="78">
        <f>_xll.qlInterestRateIndexValueDate(M9,F9,Trigger)</f>
        <v>41890</v>
      </c>
      <c r="H9" s="78">
        <f>_xll.qlInterestRateIndexMaturity(M9,G9,Trigger)</f>
        <v>41898</v>
      </c>
      <c r="I9" s="77">
        <f>_xll.qlIndexFixing(M9,F9,TRUE,InterestRatesTrigger)</f>
        <v>1.6189687674772468E-3</v>
      </c>
      <c r="J9" s="102" t="str">
        <f>Contribution!V9</f>
        <v>JPY6MSWD=</v>
      </c>
      <c r="K9" s="102"/>
      <c r="L9" s="66"/>
      <c r="M9" s="37" t="str">
        <f>_xll.qlLibor(,Currency,D9,YieldCurve,,Trigger)</f>
        <v>obj_00488#0001</v>
      </c>
      <c r="N9" s="4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2">
        <f t="shared" si="0"/>
        <v>18</v>
      </c>
      <c r="C10" s="46"/>
      <c r="D10" s="24" t="s">
        <v>23</v>
      </c>
      <c r="E10" s="36" t="s">
        <v>95</v>
      </c>
      <c r="F10" s="78">
        <f t="shared" si="1"/>
        <v>41886</v>
      </c>
      <c r="G10" s="78">
        <f>_xll.qlInterestRateIndexValueDate(M10,F10,Trigger)</f>
        <v>41890</v>
      </c>
      <c r="H10" s="78">
        <f>_xll.qlInterestRateIndexMaturity(M10,G10,Trigger)</f>
        <v>41904</v>
      </c>
      <c r="I10" s="77">
        <f>_xll.qlIndexFixing(M10,F10,TRUE,InterestRatesTrigger)</f>
        <v>1.6226142103034239E-3</v>
      </c>
      <c r="J10" s="102" t="str">
        <f>Contribution!V10</f>
        <v>JPY6M2WD=</v>
      </c>
      <c r="K10" s="102"/>
      <c r="L10" s="66"/>
      <c r="M10" s="37" t="str">
        <f>_xll.qlLibor(,Currency,D10,YieldCurve,,Trigger)</f>
        <v>obj_0048e#0001</v>
      </c>
      <c r="N10" s="4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2">
        <f t="shared" si="0"/>
        <v>25</v>
      </c>
      <c r="C11" s="46"/>
      <c r="D11" s="24" t="s">
        <v>24</v>
      </c>
      <c r="E11" s="36" t="s">
        <v>95</v>
      </c>
      <c r="F11" s="78">
        <f t="shared" si="1"/>
        <v>41886</v>
      </c>
      <c r="G11" s="78">
        <f>_xll.qlInterestRateIndexValueDate(M11,F11,Trigger)</f>
        <v>41890</v>
      </c>
      <c r="H11" s="78">
        <f>_xll.qlInterestRateIndexMaturity(M11,G11,Trigger)</f>
        <v>41911</v>
      </c>
      <c r="I11" s="77">
        <f>_xll.qlIndexFixing(M11,F11,TRUE,InterestRatesTrigger)</f>
        <v>1.6293656439841137E-3</v>
      </c>
      <c r="J11" s="102" t="str">
        <f>Contribution!V11</f>
        <v>JPY6M3WD=</v>
      </c>
      <c r="K11" s="102"/>
      <c r="L11" s="66"/>
      <c r="M11" s="37" t="str">
        <f>_xll.qlLibor(,Currency,D11,YieldCurve,,Trigger)</f>
        <v>obj_0048b#0001</v>
      </c>
      <c r="N11" s="4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2">
        <f t="shared" si="0"/>
        <v>34</v>
      </c>
      <c r="C12" s="46"/>
      <c r="D12" s="24" t="s">
        <v>25</v>
      </c>
      <c r="E12" s="36" t="s">
        <v>95</v>
      </c>
      <c r="F12" s="78">
        <f t="shared" si="1"/>
        <v>41886</v>
      </c>
      <c r="G12" s="78">
        <f>_xll.qlInterestRateIndexValueDate(M12,F12,Trigger)</f>
        <v>41890</v>
      </c>
      <c r="H12" s="78">
        <f>_xll.qlInterestRateIndexMaturity(M12,G12,Trigger)</f>
        <v>41920</v>
      </c>
      <c r="I12" s="77">
        <f>_xll.qlIndexFixing(M12,F12,TRUE,InterestRatesTrigger)</f>
        <v>1.6420000000003654E-3</v>
      </c>
      <c r="J12" s="102" t="str">
        <f>Contribution!V12</f>
        <v>JPY6M1MD=</v>
      </c>
      <c r="K12" s="102"/>
      <c r="L12" s="66"/>
      <c r="M12" s="37" t="str">
        <f>_xll.qlLibor(,Currency,D12,YieldCurve,,Trigger)</f>
        <v>obj_00487#0001</v>
      </c>
      <c r="N12" s="4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2">
        <f t="shared" si="0"/>
        <v>67</v>
      </c>
      <c r="C13" s="46"/>
      <c r="D13" s="24" t="s">
        <v>26</v>
      </c>
      <c r="E13" s="36" t="s">
        <v>95</v>
      </c>
      <c r="F13" s="78">
        <f t="shared" si="1"/>
        <v>41886</v>
      </c>
      <c r="G13" s="78">
        <f>_xll.qlInterestRateIndexValueDate(M13,F13,Trigger)</f>
        <v>41890</v>
      </c>
      <c r="H13" s="78">
        <f>_xll.qlInterestRateIndexMaturity(M13,G13,Trigger)</f>
        <v>41953</v>
      </c>
      <c r="I13" s="77">
        <f>_xll.qlIndexFixing(M13,F13,TRUE,InterestRatesTrigger)</f>
        <v>1.6869999999994231E-3</v>
      </c>
      <c r="J13" s="102" t="str">
        <f>Contribution!V13</f>
        <v>JPY6M2MD=</v>
      </c>
      <c r="K13" s="102"/>
      <c r="L13" s="66"/>
      <c r="M13" s="37" t="str">
        <f>_xll.qlLibor(,Currency,D13,YieldCurve,,Trigger)</f>
        <v>obj_0048f#0001</v>
      </c>
      <c r="N13" s="4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2">
        <f t="shared" si="0"/>
        <v>95</v>
      </c>
      <c r="C14" s="46"/>
      <c r="D14" s="24" t="s">
        <v>27</v>
      </c>
      <c r="E14" s="36" t="s">
        <v>95</v>
      </c>
      <c r="F14" s="78">
        <f t="shared" si="1"/>
        <v>41886</v>
      </c>
      <c r="G14" s="78">
        <f>_xll.qlInterestRateIndexValueDate(M14,F14,Trigger)</f>
        <v>41890</v>
      </c>
      <c r="H14" s="78">
        <f>_xll.qlInterestRateIndexMaturity(M14,G14,Trigger)</f>
        <v>41981</v>
      </c>
      <c r="I14" s="77">
        <f>_xll.qlIndexFixing(M14,F14,TRUE,InterestRatesTrigger)</f>
        <v>1.6949999999993116E-3</v>
      </c>
      <c r="J14" s="102" t="str">
        <f>Contribution!V14</f>
        <v>JPY6M3MD=</v>
      </c>
      <c r="K14" s="102"/>
      <c r="L14" s="66"/>
      <c r="M14" s="37" t="str">
        <f>_xll.qlLibor(,Currency,D14,YieldCurve,,Trigger)</f>
        <v>obj_0048d#0001</v>
      </c>
      <c r="N14" s="4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2">
        <f t="shared" si="0"/>
        <v>126</v>
      </c>
      <c r="C15" s="46"/>
      <c r="D15" s="24" t="s">
        <v>28</v>
      </c>
      <c r="E15" s="36" t="s">
        <v>95</v>
      </c>
      <c r="F15" s="78">
        <f t="shared" si="1"/>
        <v>41886</v>
      </c>
      <c r="G15" s="78">
        <f>_xll.qlInterestRateIndexValueDate(M15,F15,Trigger)</f>
        <v>41890</v>
      </c>
      <c r="H15" s="78">
        <f>_xll.qlInterestRateIndexMaturity(M15,G15,Trigger)</f>
        <v>42012</v>
      </c>
      <c r="I15" s="77">
        <f>_xll.qlIndexFixing(M15,F15,TRUE,InterestRatesTrigger)</f>
        <v>1.7249999999993432E-3</v>
      </c>
      <c r="J15" s="102" t="str">
        <f>Contribution!V15</f>
        <v>JPY6M4MD=</v>
      </c>
      <c r="K15" s="102"/>
      <c r="L15" s="66"/>
      <c r="M15" s="37" t="str">
        <f>_xll.qlLibor(,Currency,D15,YieldCurve,,Trigger)</f>
        <v>obj_00486#0001</v>
      </c>
      <c r="N15" s="4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2">
        <f t="shared" si="0"/>
        <v>158</v>
      </c>
      <c r="C16" s="46"/>
      <c r="D16" s="24" t="s">
        <v>29</v>
      </c>
      <c r="E16" s="36" t="s">
        <v>95</v>
      </c>
      <c r="F16" s="78">
        <f t="shared" si="1"/>
        <v>41886</v>
      </c>
      <c r="G16" s="78">
        <f>_xll.qlInterestRateIndexValueDate(M16,F16,Trigger)</f>
        <v>41890</v>
      </c>
      <c r="H16" s="78">
        <f>_xll.qlInterestRateIndexMaturity(M16,G16,Trigger)</f>
        <v>42044</v>
      </c>
      <c r="I16" s="77">
        <f>_xll.qlIndexFixing(M16,F16,TRUE,InterestRatesTrigger)</f>
        <v>1.7489999999995766E-3</v>
      </c>
      <c r="J16" s="102" t="str">
        <f>Contribution!V16</f>
        <v>JPY6M5MD=</v>
      </c>
      <c r="K16" s="102"/>
      <c r="L16" s="66"/>
      <c r="M16" s="37" t="str">
        <f>_xll.qlLibor(,Currency,D16,YieldCurve,,Trigger)</f>
        <v>obj_0048a#0001</v>
      </c>
      <c r="N16" s="4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72">
        <f t="shared" si="0"/>
        <v>186</v>
      </c>
      <c r="C17" s="46"/>
      <c r="D17" s="24" t="s">
        <v>18</v>
      </c>
      <c r="E17" s="36" t="s">
        <v>95</v>
      </c>
      <c r="F17" s="78">
        <f t="shared" si="1"/>
        <v>41886</v>
      </c>
      <c r="G17" s="78">
        <f>_xll.qlInterestRateIndexValueDate(M17,F17,Trigger)</f>
        <v>41890</v>
      </c>
      <c r="H17" s="78">
        <f>_xll.qlInterestRateIndexMaturity(M17,G17,Trigger)</f>
        <v>42072</v>
      </c>
      <c r="I17" s="77">
        <f>_xll.qlIndexFixing(M17,F17,TRUE,InterestRatesTrigger)</f>
        <v>1.7399999999998918E-3</v>
      </c>
      <c r="J17" s="102" t="str">
        <f>Contribution!V17</f>
        <v>JPY6M6MD=</v>
      </c>
      <c r="K17" s="102"/>
      <c r="L17" s="66"/>
      <c r="M17" s="54" t="str">
        <f>IborIndexFamily&amp;CurveTenor</f>
        <v>JpyLibor6M</v>
      </c>
      <c r="N17" s="4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1">
        <v>1</v>
      </c>
      <c r="C18" s="42" t="s">
        <v>127</v>
      </c>
      <c r="D18" s="23" t="str">
        <f>B18+6&amp;"M"</f>
        <v>7M</v>
      </c>
      <c r="E18" s="33" t="s">
        <v>90</v>
      </c>
      <c r="F18" s="75">
        <f>_xll.qlInterestRateIndexFixingDate(IborIndex,G18,Trigger)</f>
        <v>41918</v>
      </c>
      <c r="G18" s="75">
        <f>_xll.qlCalendarAdvance(Calendar,SettlementDate,B18&amp;"M","mf",TRUE,Trigger)</f>
        <v>41920</v>
      </c>
      <c r="H18" s="75">
        <f>_xll.qlInterestRateIndexMaturity(IborIndex,G18,Trigger)</f>
        <v>42102</v>
      </c>
      <c r="I18" s="76">
        <f>_xll.qlIndexFixing(IborIndex,F18,TRUE,InterestRatesTrigger)</f>
        <v>1.7499999999998257E-3</v>
      </c>
      <c r="J18" s="101" t="str">
        <f>Contribution!V18</f>
        <v>JPY6M1x7F=</v>
      </c>
      <c r="K18" s="101" t="str">
        <f t="shared" ref="K18:K23" si="2">Currency&amp;B18&amp;C18&amp;SUBSTITUTE(D18,"M","F")&amp;"=ICAP"</f>
        <v>JPY1X7F=ICAP</v>
      </c>
      <c r="L18" s="66"/>
      <c r="M18" s="111"/>
      <c r="N18" s="4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3">
        <v>2</v>
      </c>
      <c r="C19" s="44" t="s">
        <v>127</v>
      </c>
      <c r="D19" s="24" t="str">
        <f t="shared" ref="D19:D24" si="3">B19+6&amp;"M"</f>
        <v>8M</v>
      </c>
      <c r="E19" s="36" t="s">
        <v>90</v>
      </c>
      <c r="F19" s="78">
        <f>_xll.qlInterestRateIndexFixingDate(IborIndex,G19,Trigger)</f>
        <v>41949</v>
      </c>
      <c r="G19" s="78">
        <f>_xll.qlCalendarAdvance(Calendar,SettlementDate,B19&amp;"M","mf",TRUE)</f>
        <v>41953</v>
      </c>
      <c r="H19" s="78">
        <f>_xll.qlInterestRateIndexMaturity(IborIndex,G19,Trigger)</f>
        <v>42135</v>
      </c>
      <c r="I19" s="77">
        <f>_xll.qlIndexFixing(IborIndex,F19,TRUE,InterestRatesTrigger)</f>
        <v>1.7499999999998257E-3</v>
      </c>
      <c r="J19" s="102" t="str">
        <f>Contribution!V19</f>
        <v>JPY6M2x8F=</v>
      </c>
      <c r="K19" s="102" t="str">
        <f t="shared" si="2"/>
        <v>JPY2X8F=ICAP</v>
      </c>
      <c r="L19" s="66"/>
      <c r="M19" s="110"/>
      <c r="N19" s="4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3">
        <v>3</v>
      </c>
      <c r="C20" s="44" t="s">
        <v>127</v>
      </c>
      <c r="D20" s="24" t="str">
        <f t="shared" si="3"/>
        <v>9M</v>
      </c>
      <c r="E20" s="36" t="s">
        <v>90</v>
      </c>
      <c r="F20" s="78">
        <f>_xll.qlInterestRateIndexFixingDate(IborIndex,G20,Trigger)</f>
        <v>41977</v>
      </c>
      <c r="G20" s="78">
        <f>_xll.qlCalendarAdvance(Calendar,SettlementDate,B20&amp;"M","mf",TRUE)</f>
        <v>41981</v>
      </c>
      <c r="H20" s="78">
        <f>_xll.qlInterestRateIndexMaturity(IborIndex,G20,Trigger)</f>
        <v>42163</v>
      </c>
      <c r="I20" s="77">
        <f>_xll.qlIndexFixing(IborIndex,F20,TRUE,InterestRatesTrigger)</f>
        <v>1.7499999999989473E-3</v>
      </c>
      <c r="J20" s="102" t="str">
        <f>Contribution!V20</f>
        <v>JPY6M3x9F=</v>
      </c>
      <c r="K20" s="102" t="str">
        <f t="shared" si="2"/>
        <v>JPY3X9F=ICAP</v>
      </c>
      <c r="L20" s="66"/>
      <c r="M20" s="110"/>
      <c r="N20" s="4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3">
        <v>4</v>
      </c>
      <c r="C21" s="44" t="s">
        <v>127</v>
      </c>
      <c r="D21" s="24" t="str">
        <f t="shared" si="3"/>
        <v>10M</v>
      </c>
      <c r="E21" s="36" t="s">
        <v>90</v>
      </c>
      <c r="F21" s="78">
        <f>_xll.qlInterestRateIndexFixingDate(IborIndex,G21,Trigger)</f>
        <v>42010</v>
      </c>
      <c r="G21" s="78">
        <f>_xll.qlCalendarAdvance(Calendar,SettlementDate,B21&amp;"M","mf",TRUE)</f>
        <v>42012</v>
      </c>
      <c r="H21" s="78">
        <f>_xll.qlInterestRateIndexMaturity(IborIndex,G21,Trigger)</f>
        <v>42193</v>
      </c>
      <c r="I21" s="77">
        <f>_xll.qlIndexFixing(IborIndex,F21,TRUE,InterestRatesTrigger)</f>
        <v>1.7499999999978843E-3</v>
      </c>
      <c r="J21" s="102" t="str">
        <f>Contribution!V21</f>
        <v>JPY6M4x10F=</v>
      </c>
      <c r="K21" s="102" t="str">
        <f t="shared" si="2"/>
        <v>JPY4X10F=ICAP</v>
      </c>
      <c r="L21" s="66"/>
      <c r="M21" s="110"/>
      <c r="N21" s="4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3">
        <v>5</v>
      </c>
      <c r="C22" s="44" t="s">
        <v>127</v>
      </c>
      <c r="D22" s="24" t="str">
        <f t="shared" si="3"/>
        <v>11M</v>
      </c>
      <c r="E22" s="36" t="s">
        <v>90</v>
      </c>
      <c r="F22" s="78">
        <f>_xll.qlInterestRateIndexFixingDate(IborIndex,G22,Trigger)</f>
        <v>42040</v>
      </c>
      <c r="G22" s="78">
        <f>_xll.qlCalendarAdvance(Calendar,SettlementDate,B22&amp;"M","mf",TRUE)</f>
        <v>42044</v>
      </c>
      <c r="H22" s="78">
        <f>_xll.qlInterestRateIndexMaturity(IborIndex,G22,Trigger)</f>
        <v>42226</v>
      </c>
      <c r="I22" s="77">
        <f>_xll.qlIndexFixing(IborIndex,F22,TRUE,InterestRatesTrigger)</f>
        <v>1.7499999999914806E-3</v>
      </c>
      <c r="J22" s="102" t="str">
        <f>Contribution!V22</f>
        <v>JPY6M5x11F=</v>
      </c>
      <c r="K22" s="102" t="str">
        <f t="shared" si="2"/>
        <v>JPY5X11F=ICAP</v>
      </c>
      <c r="L22" s="66"/>
      <c r="M22" s="110"/>
      <c r="N22" s="4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3">
        <v>6</v>
      </c>
      <c r="C23" s="44" t="s">
        <v>127</v>
      </c>
      <c r="D23" s="24" t="str">
        <f t="shared" si="3"/>
        <v>12M</v>
      </c>
      <c r="E23" s="36" t="s">
        <v>90</v>
      </c>
      <c r="F23" s="78">
        <f>_xll.qlInterestRateIndexFixingDate(IborIndex,G23,Trigger)</f>
        <v>42068</v>
      </c>
      <c r="G23" s="78">
        <f>_xll.qlCalendarAdvance(Calendar,SettlementDate,B23&amp;"M","mf",TRUE)</f>
        <v>42072</v>
      </c>
      <c r="H23" s="78">
        <f>_xll.qlInterestRateIndexMaturity(IborIndex,G23,Trigger)</f>
        <v>42256</v>
      </c>
      <c r="I23" s="77">
        <f>_xll.qlIndexFixing(IborIndex,F23,TRUE,InterestRatesTrigger)</f>
        <v>1.7499999999949561E-3</v>
      </c>
      <c r="J23" s="102" t="str">
        <f>Contribution!V23</f>
        <v>JPY6M6x12F=</v>
      </c>
      <c r="K23" s="102" t="str">
        <f t="shared" si="2"/>
        <v>JPY6X12F=ICAP</v>
      </c>
      <c r="L23" s="66"/>
      <c r="M23" s="110"/>
      <c r="N23" s="4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3">
        <v>9</v>
      </c>
      <c r="C24" s="44" t="s">
        <v>127</v>
      </c>
      <c r="D24" s="24" t="str">
        <f t="shared" si="3"/>
        <v>15M</v>
      </c>
      <c r="E24" s="36" t="s">
        <v>90</v>
      </c>
      <c r="F24" s="78">
        <f>_xll.qlInterestRateIndexFixingDate(IborIndex,G24,Trigger)</f>
        <v>42159</v>
      </c>
      <c r="G24" s="78">
        <f>_xll.qlCalendarAdvance(Calendar,SettlementDate,B24&amp;"M","mf",TRUE)</f>
        <v>42163</v>
      </c>
      <c r="H24" s="78">
        <f>_xll.qlInterestRateIndexMaturity(IborIndex,G24,Trigger)</f>
        <v>42346</v>
      </c>
      <c r="I24" s="77">
        <f>_xll.qlIndexFixing(IborIndex,F24,TRUE,InterestRatesTrigger)</f>
        <v>1.7552945485460332E-3</v>
      </c>
      <c r="J24" s="102"/>
      <c r="K24" s="102"/>
      <c r="L24" s="66"/>
      <c r="M24" s="108" t="s">
        <v>56</v>
      </c>
      <c r="N24" s="121"/>
      <c r="O24" s="8" t="s">
        <v>51</v>
      </c>
      <c r="P24" s="8" t="s">
        <v>126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1"/>
      <c r="C25" s="47"/>
      <c r="D25" s="23" t="s">
        <v>112</v>
      </c>
      <c r="E25" s="33" t="s">
        <v>94</v>
      </c>
      <c r="F25" s="75">
        <f t="shared" ref="F25" si="4">EvaluationDate</f>
        <v>41886</v>
      </c>
      <c r="G25" s="75">
        <f>_xll.qlInterestRateIndexValueDate(M25,F25,Trigger)</f>
        <v>41890</v>
      </c>
      <c r="H25" s="75">
        <f>_xll.qlInterestRateIndexMaturity(M25,G25,Trigger)</f>
        <v>42437</v>
      </c>
      <c r="I25" s="76">
        <f>_xll.qlIndexFixing(M25,F25,TRUE,InterestRatesTrigger)</f>
        <v>1.7750000000000461E-3</v>
      </c>
      <c r="J25" s="101" t="str">
        <f>Contribution!V25</f>
        <v>JPY6M18M=</v>
      </c>
      <c r="K25" s="101" t="str">
        <f t="shared" ref="K25:K39" si="5">Currency&amp;"SB6L"&amp;D25&amp;"=ICAP"</f>
        <v>JPYSB6L18M=ICAP</v>
      </c>
      <c r="L25" s="66"/>
      <c r="M25" s="95" t="str">
        <f>_xll.qlSwapIndex(,"Libor",D25,SettlementDays,Currency,Calendar,FixedLegTenor,FixedLegBDC,FixedLegDayCounter,IborIndex,"JPYON",,Trigger)</f>
        <v>obj_004c9#0001</v>
      </c>
      <c r="N25" s="121"/>
      <c r="O25" s="34" t="s">
        <v>18</v>
      </c>
      <c r="P25" s="34" t="s">
        <v>87</v>
      </c>
      <c r="Q25" s="34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3"/>
      <c r="C26" s="48"/>
      <c r="D26" s="24" t="s">
        <v>36</v>
      </c>
      <c r="E26" s="36" t="s">
        <v>94</v>
      </c>
      <c r="F26" s="78">
        <f t="shared" ref="F26:F39" si="6">EvaluationDate</f>
        <v>41886</v>
      </c>
      <c r="G26" s="78">
        <f>_xll.qlInterestRateIndexValueDate(M26,F26,Trigger)</f>
        <v>41890</v>
      </c>
      <c r="H26" s="78">
        <f>_xll.qlInterestRateIndexMaturity(M26,G26,Trigger)</f>
        <v>42621</v>
      </c>
      <c r="I26" s="77">
        <f>_xll.qlIndexFixing(M26,F26,TRUE,InterestRatesTrigger)</f>
        <v>1.8000000000000422E-3</v>
      </c>
      <c r="J26" s="102" t="str">
        <f>Contribution!V26</f>
        <v>JPY6M2Y=</v>
      </c>
      <c r="K26" s="102" t="str">
        <f t="shared" si="5"/>
        <v>JPYSB6L2Y=ICAP</v>
      </c>
      <c r="L26" s="66"/>
      <c r="M26" s="62" t="str">
        <f>_xll.qlSwapIndex(,"Libor",D26,SettlementDays,Currency,Calendar,FixedLegTenor,FixedLegBDC,FixedLegDayCounter,IborIndex,"JPYON",,Trigger)</f>
        <v>obj_004c2#0001</v>
      </c>
      <c r="N26" s="121"/>
      <c r="O26" s="111"/>
      <c r="P26" s="120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3"/>
      <c r="C27" s="44"/>
      <c r="D27" s="24" t="s">
        <v>37</v>
      </c>
      <c r="E27" s="36" t="s">
        <v>94</v>
      </c>
      <c r="F27" s="78">
        <f t="shared" si="6"/>
        <v>41886</v>
      </c>
      <c r="G27" s="78">
        <f>_xll.qlInterestRateIndexValueDate(M27,F27,Trigger)</f>
        <v>41890</v>
      </c>
      <c r="H27" s="78">
        <f>_xll.qlInterestRateIndexMaturity(M27,G27,Trigger)</f>
        <v>42986</v>
      </c>
      <c r="I27" s="77">
        <f>_xll.qlIndexFixing(M27,F27,TRUE,InterestRatesTrigger)</f>
        <v>1.9249999998873083E-3</v>
      </c>
      <c r="J27" s="102" t="str">
        <f>Contribution!V27</f>
        <v>JPY6M3Y=</v>
      </c>
      <c r="K27" s="102" t="str">
        <f t="shared" si="5"/>
        <v>JPYSB6L3Y=ICAP</v>
      </c>
      <c r="L27" s="66"/>
      <c r="M27" s="62" t="str">
        <f>_xll.qlSwapIndex(,"Libor",D27,SettlementDays,Currency,Calendar,FixedLegTenor,FixedLegBDC,FixedLegDayCounter,IborIndex,"JPYON",,Trigger)</f>
        <v>obj_004c6#0001</v>
      </c>
      <c r="N27" s="121"/>
      <c r="O27" s="110"/>
      <c r="P27" s="4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3"/>
      <c r="C28" s="44"/>
      <c r="D28" s="24" t="s">
        <v>38</v>
      </c>
      <c r="E28" s="36" t="s">
        <v>94</v>
      </c>
      <c r="F28" s="78">
        <f t="shared" si="6"/>
        <v>41886</v>
      </c>
      <c r="G28" s="78">
        <f>_xll.qlInterestRateIndexValueDate(M28,F28,Trigger)</f>
        <v>41890</v>
      </c>
      <c r="H28" s="78">
        <f>_xll.qlInterestRateIndexMaturity(M28,G28,Trigger)</f>
        <v>43353</v>
      </c>
      <c r="I28" s="77">
        <f>_xll.qlIndexFixing(M28,F28,TRUE,InterestRatesTrigger)</f>
        <v>2.1999999999999E-3</v>
      </c>
      <c r="J28" s="102" t="str">
        <f>Contribution!V28</f>
        <v>JPY6M4Y=</v>
      </c>
      <c r="K28" s="102" t="str">
        <f t="shared" si="5"/>
        <v>JPYSB6L4Y=ICAP</v>
      </c>
      <c r="L28" s="66"/>
      <c r="M28" s="62" t="str">
        <f>_xll.qlSwapIndex(,"Libor",D28,SettlementDays,Currency,Calendar,FixedLegTenor,FixedLegBDC,FixedLegDayCounter,IborIndex,"JPYON",,Trigger)</f>
        <v>obj_004b9#0001</v>
      </c>
      <c r="N28" s="121"/>
      <c r="O28" s="110"/>
      <c r="P28" s="4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3"/>
      <c r="C29" s="44"/>
      <c r="D29" s="24" t="s">
        <v>39</v>
      </c>
      <c r="E29" s="36" t="s">
        <v>94</v>
      </c>
      <c r="F29" s="78">
        <f t="shared" si="6"/>
        <v>41886</v>
      </c>
      <c r="G29" s="78">
        <f>_xll.qlInterestRateIndexValueDate(M29,F29,Trigger)</f>
        <v>41890</v>
      </c>
      <c r="H29" s="78">
        <f>_xll.qlInterestRateIndexMaturity(M29,G29,Trigger)</f>
        <v>43717</v>
      </c>
      <c r="I29" s="77">
        <f>_xll.qlIndexFixing(M29,F29,TRUE,InterestRatesTrigger)</f>
        <v>2.6250000000016963E-3</v>
      </c>
      <c r="J29" s="102" t="str">
        <f>Contribution!V29</f>
        <v>JPY6M5Y=</v>
      </c>
      <c r="K29" s="102" t="str">
        <f t="shared" si="5"/>
        <v>JPYSB6L5Y=ICAP</v>
      </c>
      <c r="L29" s="66"/>
      <c r="M29" s="62" t="str">
        <f>_xll.qlSwapIndex(,"Libor",D29,SettlementDays,Currency,Calendar,FixedLegTenor,FixedLegBDC,FixedLegDayCounter,IborIndex,"JPYON",,Trigger)</f>
        <v>obj_004d0#0001</v>
      </c>
      <c r="N29" s="121"/>
      <c r="O29" s="110"/>
      <c r="P29" s="4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3"/>
      <c r="C30" s="44"/>
      <c r="D30" s="24" t="s">
        <v>40</v>
      </c>
      <c r="E30" s="36" t="s">
        <v>94</v>
      </c>
      <c r="F30" s="78">
        <f t="shared" si="6"/>
        <v>41886</v>
      </c>
      <c r="G30" s="78">
        <f>_xll.qlInterestRateIndexValueDate(M30,F30,Trigger)</f>
        <v>41890</v>
      </c>
      <c r="H30" s="78">
        <f>_xll.qlInterestRateIndexMaturity(M30,G30,Trigger)</f>
        <v>44082</v>
      </c>
      <c r="I30" s="77">
        <f>_xll.qlIndexFixing(M30,F30,TRUE,InterestRatesTrigger)</f>
        <v>3.1999999999991788E-3</v>
      </c>
      <c r="J30" s="102" t="str">
        <f>Contribution!V30</f>
        <v>JPY6M6Y=</v>
      </c>
      <c r="K30" s="102" t="str">
        <f t="shared" si="5"/>
        <v>JPYSB6L6Y=ICAP</v>
      </c>
      <c r="L30" s="66"/>
      <c r="M30" s="62" t="str">
        <f>_xll.qlSwapIndex(,"Libor",D30,SettlementDays,Currency,Calendar,FixedLegTenor,FixedLegBDC,FixedLegDayCounter,IborIndex,"JPYON",,Trigger)</f>
        <v>obj_004b8#0001</v>
      </c>
      <c r="N30" s="121"/>
      <c r="O30" s="110"/>
      <c r="P30" s="4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3"/>
      <c r="C31" s="44"/>
      <c r="D31" s="24" t="s">
        <v>41</v>
      </c>
      <c r="E31" s="36" t="s">
        <v>94</v>
      </c>
      <c r="F31" s="78">
        <f t="shared" si="6"/>
        <v>41886</v>
      </c>
      <c r="G31" s="78">
        <f>_xll.qlInterestRateIndexValueDate(M31,F31,Trigger)</f>
        <v>41890</v>
      </c>
      <c r="H31" s="78">
        <f>_xll.qlInterestRateIndexMaturity(M31,G31,Trigger)</f>
        <v>44447</v>
      </c>
      <c r="I31" s="77">
        <f>_xll.qlIndexFixing(M31,F31,TRUE,InterestRatesTrigger)</f>
        <v>3.9000000000194348E-3</v>
      </c>
      <c r="J31" s="102" t="str">
        <f>Contribution!V31</f>
        <v>JPY6M7Y=</v>
      </c>
      <c r="K31" s="102" t="str">
        <f t="shared" si="5"/>
        <v>JPYSB6L7Y=ICAP</v>
      </c>
      <c r="L31" s="66"/>
      <c r="M31" s="62" t="str">
        <f>_xll.qlSwapIndex(,"Libor",D31,SettlementDays,Currency,Calendar,FixedLegTenor,FixedLegBDC,FixedLegDayCounter,IborIndex,"JPYON",,Trigger)</f>
        <v>obj_004bc#0001</v>
      </c>
      <c r="N31" s="121"/>
      <c r="O31" s="110"/>
      <c r="P31" s="4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3"/>
      <c r="C32" s="44"/>
      <c r="D32" s="24" t="s">
        <v>42</v>
      </c>
      <c r="E32" s="36" t="s">
        <v>94</v>
      </c>
      <c r="F32" s="78">
        <f t="shared" si="6"/>
        <v>41886</v>
      </c>
      <c r="G32" s="78">
        <f>_xll.qlInterestRateIndexValueDate(M32,F32,Trigger)</f>
        <v>41890</v>
      </c>
      <c r="H32" s="78">
        <f>_xll.qlInterestRateIndexMaturity(M32,G32,Trigger)</f>
        <v>44812</v>
      </c>
      <c r="I32" s="77">
        <f>_xll.qlIndexFixing(M32,F32,TRUE,InterestRatesTrigger)</f>
        <v>4.6749999999839273E-3</v>
      </c>
      <c r="J32" s="102" t="str">
        <f>Contribution!V32</f>
        <v>JPY6M8Y=</v>
      </c>
      <c r="K32" s="102" t="str">
        <f t="shared" si="5"/>
        <v>JPYSB6L8Y=ICAP</v>
      </c>
      <c r="L32" s="66"/>
      <c r="M32" s="62" t="str">
        <f>_xll.qlSwapIndex(,"Libor",D32,SettlementDays,Currency,Calendar,FixedLegTenor,FixedLegBDC,FixedLegDayCounter,IborIndex,"JPYON",,Trigger)</f>
        <v>obj_004b6#0001</v>
      </c>
      <c r="N32" s="121"/>
      <c r="O32" s="110"/>
      <c r="P32" s="4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3"/>
      <c r="C33" s="44"/>
      <c r="D33" s="24" t="s">
        <v>43</v>
      </c>
      <c r="E33" s="36" t="s">
        <v>94</v>
      </c>
      <c r="F33" s="78">
        <f t="shared" si="6"/>
        <v>41886</v>
      </c>
      <c r="G33" s="78">
        <f>_xll.qlInterestRateIndexValueDate(M33,F33,Trigger)</f>
        <v>41890</v>
      </c>
      <c r="H33" s="78">
        <f>_xll.qlInterestRateIndexMaturity(M33,G33,Trigger)</f>
        <v>45177</v>
      </c>
      <c r="I33" s="77">
        <f>_xll.qlIndexFixing(M33,F33,TRUE,InterestRatesTrigger)</f>
        <v>5.5000000000842786E-3</v>
      </c>
      <c r="J33" s="102" t="str">
        <f>Contribution!V33</f>
        <v>JPY6M9Y=</v>
      </c>
      <c r="K33" s="102" t="str">
        <f t="shared" si="5"/>
        <v>JPYSB6L9Y=ICAP</v>
      </c>
      <c r="L33" s="66"/>
      <c r="M33" s="62" t="str">
        <f>_xll.qlSwapIndex(,"Libor",D33,SettlementDays,Currency,Calendar,FixedLegTenor,FixedLegBDC,FixedLegDayCounter,IborIndex,"JPYON",,Trigger)</f>
        <v>obj_004ce#0001</v>
      </c>
      <c r="N33" s="121"/>
      <c r="O33" s="110"/>
      <c r="P33" s="4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3"/>
      <c r="C34" s="44"/>
      <c r="D34" s="24" t="s">
        <v>44</v>
      </c>
      <c r="E34" s="36" t="s">
        <v>94</v>
      </c>
      <c r="F34" s="78">
        <f t="shared" si="6"/>
        <v>41886</v>
      </c>
      <c r="G34" s="78">
        <f>_xll.qlInterestRateIndexValueDate(M34,F34,Trigger)</f>
        <v>41890</v>
      </c>
      <c r="H34" s="78">
        <f>_xll.qlInterestRateIndexMaturity(M34,G34,Trigger)</f>
        <v>45544</v>
      </c>
      <c r="I34" s="77">
        <f>_xll.qlIndexFixing(M34,F34,TRUE,InterestRatesTrigger)</f>
        <v>6.3249999998482844E-3</v>
      </c>
      <c r="J34" s="102" t="str">
        <f>Contribution!V34</f>
        <v>JPY6M10Y=</v>
      </c>
      <c r="K34" s="102" t="str">
        <f t="shared" si="5"/>
        <v>JPYSB6L10Y=ICAP</v>
      </c>
      <c r="L34" s="66"/>
      <c r="M34" s="62" t="str">
        <f>_xll.qlSwapIndex(,"Libor",D34,SettlementDays,Currency,Calendar,FixedLegTenor,FixedLegBDC,FixedLegDayCounter,IborIndex,"JPYON",,Trigger)</f>
        <v>obj_004ca#0001</v>
      </c>
      <c r="N34" s="121"/>
      <c r="O34" s="110"/>
      <c r="P34" s="4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3"/>
      <c r="C35" s="44"/>
      <c r="D35" s="24" t="s">
        <v>45</v>
      </c>
      <c r="E35" s="36" t="s">
        <v>94</v>
      </c>
      <c r="F35" s="78">
        <f t="shared" si="6"/>
        <v>41886</v>
      </c>
      <c r="G35" s="78">
        <f>_xll.qlInterestRateIndexValueDate(M35,F35,Trigger)</f>
        <v>41890</v>
      </c>
      <c r="H35" s="78">
        <f>_xll.qlInterestRateIndexMaturity(M35,G35,Trigger)</f>
        <v>46273</v>
      </c>
      <c r="I35" s="77">
        <f>_xll.qlIndexFixing(M35,F35,TRUE,InterestRatesTrigger)</f>
        <v>8.0000000000943934E-3</v>
      </c>
      <c r="J35" s="102" t="str">
        <f>Contribution!V35</f>
        <v>JPY6M12Y=</v>
      </c>
      <c r="K35" s="102" t="str">
        <f t="shared" si="5"/>
        <v>JPYSB6L12Y=ICAP</v>
      </c>
      <c r="L35" s="66"/>
      <c r="M35" s="62" t="str">
        <f>_xll.qlSwapIndex(,"Libor",D35,SettlementDays,Currency,Calendar,FixedLegTenor,FixedLegBDC,FixedLegDayCounter,IborIndex,"JPYON",,Trigger)</f>
        <v>obj_004c3#0001</v>
      </c>
      <c r="N35" s="121"/>
      <c r="O35" s="110"/>
      <c r="P35" s="4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3"/>
      <c r="C36" s="44"/>
      <c r="D36" s="24" t="s">
        <v>46</v>
      </c>
      <c r="E36" s="36" t="s">
        <v>94</v>
      </c>
      <c r="F36" s="78">
        <f t="shared" si="6"/>
        <v>41886</v>
      </c>
      <c r="G36" s="78">
        <f>_xll.qlInterestRateIndexValueDate(M36,F36,Trigger)</f>
        <v>41890</v>
      </c>
      <c r="H36" s="78">
        <f>_xll.qlInterestRateIndexMaturity(M36,G36,Trigger)</f>
        <v>47371</v>
      </c>
      <c r="I36" s="77">
        <f>_xll.qlIndexFixing(M36,F36,TRUE,InterestRatesTrigger)</f>
        <v>1.0500000000066236E-2</v>
      </c>
      <c r="J36" s="102" t="str">
        <f>Contribution!V36</f>
        <v>JPY6M15Y=</v>
      </c>
      <c r="K36" s="102" t="str">
        <f t="shared" si="5"/>
        <v>JPYSB6L15Y=ICAP</v>
      </c>
      <c r="L36" s="66"/>
      <c r="M36" s="62" t="str">
        <f>_xll.qlSwapIndex(,"Libor",D36,SettlementDays,Currency,Calendar,FixedLegTenor,FixedLegBDC,FixedLegDayCounter,IborIndex,"JPYON",,Trigger)</f>
        <v>obj_004cb#0001</v>
      </c>
      <c r="N36" s="121"/>
      <c r="O36" s="110"/>
      <c r="P36" s="4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3"/>
      <c r="C37" s="44"/>
      <c r="D37" s="24" t="s">
        <v>47</v>
      </c>
      <c r="E37" s="36" t="s">
        <v>94</v>
      </c>
      <c r="F37" s="78">
        <f t="shared" si="6"/>
        <v>41886</v>
      </c>
      <c r="G37" s="78">
        <f>_xll.qlInterestRateIndexValueDate(M37,F37,Trigger)</f>
        <v>41890</v>
      </c>
      <c r="H37" s="78">
        <f>_xll.qlInterestRateIndexMaturity(M37,G37,Trigger)</f>
        <v>49195</v>
      </c>
      <c r="I37" s="77">
        <f>_xll.qlIndexFixing(M37,F37,TRUE,InterestRatesTrigger)</f>
        <v>1.3724999999939553E-2</v>
      </c>
      <c r="J37" s="102" t="str">
        <f>Contribution!V37</f>
        <v>JPY6M20Y=</v>
      </c>
      <c r="K37" s="102" t="str">
        <f t="shared" si="5"/>
        <v>JPYSB6L20Y=ICAP</v>
      </c>
      <c r="L37" s="66"/>
      <c r="M37" s="62" t="str">
        <f>_xll.qlSwapIndex(,"Libor",D37,SettlementDays,Currency,Calendar,FixedLegTenor,FixedLegBDC,FixedLegDayCounter,IborIndex,"JPYON",,Trigger)</f>
        <v>obj_004c1#0001</v>
      </c>
      <c r="N37" s="121"/>
      <c r="O37" s="110"/>
      <c r="P37" s="4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43"/>
      <c r="C38" s="44"/>
      <c r="D38" s="24" t="s">
        <v>48</v>
      </c>
      <c r="E38" s="36" t="s">
        <v>94</v>
      </c>
      <c r="F38" s="78">
        <f t="shared" si="6"/>
        <v>41886</v>
      </c>
      <c r="G38" s="78">
        <f>_xll.qlInterestRateIndexValueDate(M38,F38,Trigger)</f>
        <v>41890</v>
      </c>
      <c r="H38" s="78">
        <f>_xll.qlInterestRateIndexMaturity(M38,G38,Trigger)</f>
        <v>51021</v>
      </c>
      <c r="I38" s="77">
        <f>_xll.qlIndexFixing(M38,F38,TRUE,InterestRatesTrigger)</f>
        <v>1.5475000000027035E-2</v>
      </c>
      <c r="J38" s="102" t="str">
        <f>Contribution!V38</f>
        <v>JPY6M25Y=</v>
      </c>
      <c r="K38" s="102" t="str">
        <f t="shared" si="5"/>
        <v>JPYSB6L25Y=ICAP</v>
      </c>
      <c r="L38" s="66"/>
      <c r="M38" s="62" t="str">
        <f>_xll.qlSwapIndex(,"Libor",D38,SettlementDays,Currency,Calendar,FixedLegTenor,FixedLegBDC,FixedLegDayCounter,IborIndex,"JPYON",,Trigger)</f>
        <v>obj_004c4#0001</v>
      </c>
      <c r="N38" s="121"/>
      <c r="O38" s="110"/>
      <c r="P38" s="4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49"/>
      <c r="C39" s="50"/>
      <c r="D39" s="25" t="s">
        <v>49</v>
      </c>
      <c r="E39" s="38" t="s">
        <v>94</v>
      </c>
      <c r="F39" s="79">
        <f t="shared" si="6"/>
        <v>41886</v>
      </c>
      <c r="G39" s="79">
        <f>_xll.qlInterestRateIndexValueDate(M39,F39,Trigger)</f>
        <v>41890</v>
      </c>
      <c r="H39" s="79">
        <f>_xll.qlInterestRateIndexMaturity(M39,G39,Trigger)</f>
        <v>52848</v>
      </c>
      <c r="I39" s="80">
        <f>_xll.qlIndexFixing(M39,F39,TRUE,InterestRatesTrigger)</f>
        <v>1.6475000000012657E-2</v>
      </c>
      <c r="J39" s="103" t="str">
        <f>Contribution!V39</f>
        <v>JPY6M30Y=</v>
      </c>
      <c r="K39" s="103" t="str">
        <f t="shared" si="5"/>
        <v>JPYSB6L30Y=ICAP</v>
      </c>
      <c r="L39" s="66"/>
      <c r="M39" s="109" t="str">
        <f>_xll.qlSwapIndex(,"Libor",D39,SettlementDays,Currency,Calendar,FixedLegTenor,FixedLegBDC,FixedLegDayCounter,IborIndex,"JPYON",,Trigger)</f>
        <v>obj_004cc#0001</v>
      </c>
      <c r="N39" s="121"/>
      <c r="O39" s="110"/>
      <c r="P39" s="4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4"/>
      <c r="B40" s="119"/>
      <c r="C40" s="120"/>
      <c r="D40" s="120"/>
      <c r="E40" s="111"/>
      <c r="F40" s="111"/>
      <c r="G40" s="110"/>
      <c r="H40" s="110"/>
      <c r="I40" s="110"/>
      <c r="J40" s="66"/>
      <c r="K40" s="111"/>
      <c r="L40" s="110"/>
      <c r="M40" s="111"/>
      <c r="N40" s="110"/>
      <c r="O40" s="110"/>
      <c r="P40" s="66"/>
      <c r="Q40" s="110"/>
      <c r="R40" s="110"/>
      <c r="S40" s="66"/>
      <c r="T40" s="2"/>
      <c r="U40" s="2"/>
      <c r="V40" s="2"/>
      <c r="W40" s="2"/>
      <c r="X40" s="2"/>
      <c r="Y40" s="2"/>
      <c r="Z40" s="2"/>
    </row>
    <row r="41" spans="1:26" x14ac:dyDescent="0.2">
      <c r="A41" s="117"/>
      <c r="B41" s="118"/>
      <c r="C41" s="4"/>
      <c r="D41" s="4"/>
      <c r="E41" s="110"/>
      <c r="F41" s="110"/>
      <c r="G41" s="110"/>
      <c r="H41" s="110"/>
      <c r="I41" s="110"/>
      <c r="J41" s="66"/>
      <c r="K41" s="110"/>
      <c r="L41" s="110"/>
      <c r="M41" s="110"/>
      <c r="N41" s="110"/>
      <c r="O41" s="110"/>
      <c r="P41" s="66"/>
      <c r="Q41" s="66"/>
      <c r="R41" s="66"/>
      <c r="S41" s="66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11"/>
      <c r="C101" s="3"/>
      <c r="D101" s="3"/>
      <c r="E101" s="6"/>
      <c r="F101" s="6"/>
      <c r="G101" s="6"/>
      <c r="H101" s="6"/>
      <c r="I101" s="6"/>
      <c r="J101" s="2"/>
      <c r="K101" s="6"/>
      <c r="L101" s="6"/>
      <c r="M101" s="6"/>
      <c r="N101" s="6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P25">
      <formula1>"Following,Modified Following,Preceding,Modified Preceding,Unadjusted,Half-Month Modified Following"</formula1>
    </dataValidation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2014-09-04T08:25:59Z</dcterms:modified>
</cp:coreProperties>
</file>